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0_ncr:100000_{3D0B55D0-7A3B-4D38-A16C-D1BE1A94DC96}" xr6:coauthVersionLast="31" xr6:coauthVersionMax="31" xr10:uidLastSave="{00000000-0000-0000-0000-000000000000}"/>
  <bookViews>
    <workbookView xWindow="0" yWindow="0" windowWidth="19905" windowHeight="9060" xr2:uid="{00000000-000D-0000-FFFF-FFFF00000000}"/>
  </bookViews>
  <sheets>
    <sheet name="Result Q Men Sportisti" sheetId="17" r:id="rId1"/>
    <sheet name="Result Q Men Amatieri" sheetId="14" r:id="rId2"/>
    <sheet name="Result Q Women sportisti" sheetId="16" r:id="rId3"/>
    <sheet name="Result Q Women amatieri" sheetId="18" r:id="rId4"/>
  </sheets>
  <calcPr calcId="179017"/>
</workbook>
</file>

<file path=xl/calcChain.xml><?xml version="1.0" encoding="utf-8"?>
<calcChain xmlns="http://schemas.openxmlformats.org/spreadsheetml/2006/main">
  <c r="DC27" i="18" l="1"/>
  <c r="DC14" i="14" l="1"/>
  <c r="DC38" i="14"/>
  <c r="DC44" i="14"/>
  <c r="DC8" i="18"/>
  <c r="DC6" i="18"/>
  <c r="DC69" i="14" l="1"/>
  <c r="DC18" i="14"/>
  <c r="DC61" i="14"/>
  <c r="DC59" i="14"/>
  <c r="DC15" i="14"/>
  <c r="DC22" i="14"/>
  <c r="DC51" i="14"/>
  <c r="DC62" i="14"/>
  <c r="DC32" i="14"/>
  <c r="DC23" i="18" l="1"/>
  <c r="DC13" i="18"/>
  <c r="DC21" i="18"/>
  <c r="DC11" i="16"/>
  <c r="DC12" i="16"/>
  <c r="DC40" i="14"/>
  <c r="DC28" i="14"/>
  <c r="DC56" i="14"/>
  <c r="DC57" i="14"/>
  <c r="DC20" i="14"/>
  <c r="DC23" i="14"/>
  <c r="DC43" i="14"/>
  <c r="DC54" i="14"/>
  <c r="DC30" i="14"/>
  <c r="DC67" i="14"/>
  <c r="DC35" i="14"/>
  <c r="DC58" i="14"/>
  <c r="DC65" i="14"/>
  <c r="DC70" i="14"/>
  <c r="DC41" i="14"/>
  <c r="DC6" i="14"/>
  <c r="DC68" i="14"/>
  <c r="DC49" i="14"/>
  <c r="DC24" i="14"/>
  <c r="DC11" i="18" l="1"/>
  <c r="DC28" i="18"/>
  <c r="DC18" i="18"/>
  <c r="DC19" i="18"/>
  <c r="DC7" i="18"/>
  <c r="DC17" i="18"/>
  <c r="DC25" i="18"/>
  <c r="DC15" i="18"/>
  <c r="DC12" i="18"/>
  <c r="DC22" i="18"/>
  <c r="DC14" i="18"/>
  <c r="DC20" i="18"/>
  <c r="DC5" i="18"/>
  <c r="DC10" i="18"/>
  <c r="DC26" i="18"/>
  <c r="DC9" i="18"/>
  <c r="DC29" i="18"/>
  <c r="DC24" i="18"/>
  <c r="DC16" i="18"/>
  <c r="DA2" i="18"/>
  <c r="CZ2" i="18"/>
  <c r="CY2" i="18"/>
  <c r="CX2" i="18"/>
  <c r="CW2" i="18"/>
  <c r="CV2" i="18"/>
  <c r="CU2" i="18"/>
  <c r="CT2" i="18"/>
  <c r="CS2" i="18"/>
  <c r="CR2" i="18"/>
  <c r="CQ2" i="18"/>
  <c r="CP2" i="18"/>
  <c r="CO2" i="18"/>
  <c r="CN2" i="18"/>
  <c r="CM2" i="18"/>
  <c r="CL2" i="18"/>
  <c r="CK2" i="18"/>
  <c r="CJ2" i="18"/>
  <c r="CI2" i="18"/>
  <c r="CH2" i="18"/>
  <c r="CG2" i="18"/>
  <c r="CF2" i="18"/>
  <c r="CE2" i="18"/>
  <c r="CD2" i="18"/>
  <c r="CC2" i="18"/>
  <c r="CB2" i="18"/>
  <c r="CA2" i="18"/>
  <c r="BZ2" i="18"/>
  <c r="BY2" i="18"/>
  <c r="BX2" i="18"/>
  <c r="BW2" i="18"/>
  <c r="BV2" i="18"/>
  <c r="BU2" i="18"/>
  <c r="BT2" i="18"/>
  <c r="BS2" i="18"/>
  <c r="BR2" i="18"/>
  <c r="BQ2" i="18"/>
  <c r="BP2" i="18"/>
  <c r="BO2" i="18"/>
  <c r="BN2" i="18"/>
  <c r="BM2" i="18"/>
  <c r="BL2" i="18"/>
  <c r="BK2" i="18"/>
  <c r="BJ2" i="18"/>
  <c r="BI2" i="18"/>
  <c r="BH2" i="18"/>
  <c r="BG2" i="18"/>
  <c r="BF2" i="18"/>
  <c r="BE2" i="18"/>
  <c r="BD2" i="18"/>
  <c r="BC2" i="18"/>
  <c r="BB2" i="18"/>
  <c r="BA2" i="18"/>
  <c r="AZ2" i="18"/>
  <c r="AY2" i="18"/>
  <c r="AX2" i="18"/>
  <c r="AW2" i="18"/>
  <c r="AV2" i="18"/>
  <c r="AU2" i="18"/>
  <c r="AT2" i="18"/>
  <c r="AS2" i="18"/>
  <c r="AR2" i="18"/>
  <c r="AQ2" i="18"/>
  <c r="AP2" i="18"/>
  <c r="AO2" i="18"/>
  <c r="AN2" i="18"/>
  <c r="AM2" i="18"/>
  <c r="AL2" i="18"/>
  <c r="AK2" i="18"/>
  <c r="AJ2" i="18"/>
  <c r="AI2" i="18"/>
  <c r="AH2" i="18"/>
  <c r="AG2" i="18"/>
  <c r="AF2" i="18"/>
  <c r="AE2" i="18"/>
  <c r="AD2" i="18"/>
  <c r="AC2" i="18"/>
  <c r="AB2" i="18"/>
  <c r="AA2" i="18"/>
  <c r="Z2" i="18"/>
  <c r="Y2" i="18"/>
  <c r="X2" i="18"/>
  <c r="W2" i="18"/>
  <c r="V2" i="18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DC20" i="17"/>
  <c r="DC7" i="17"/>
  <c r="DC6" i="17"/>
  <c r="DC18" i="17"/>
  <c r="DC12" i="17"/>
  <c r="DC5" i="17"/>
  <c r="DC16" i="17"/>
  <c r="DC13" i="17"/>
  <c r="DC10" i="17"/>
  <c r="DC17" i="17"/>
  <c r="DC11" i="17"/>
  <c r="DC19" i="17"/>
  <c r="DC15" i="17"/>
  <c r="DC8" i="17"/>
  <c r="DC14" i="17"/>
  <c r="DC9" i="17"/>
  <c r="DA2" i="17"/>
  <c r="CZ2" i="17"/>
  <c r="CY2" i="17"/>
  <c r="CX2" i="17"/>
  <c r="CW2" i="17"/>
  <c r="CV2" i="17"/>
  <c r="CU2" i="17"/>
  <c r="CT2" i="17"/>
  <c r="CS2" i="17"/>
  <c r="CR2" i="17"/>
  <c r="CQ2" i="17"/>
  <c r="CP2" i="17"/>
  <c r="CO2" i="17"/>
  <c r="CN2" i="17"/>
  <c r="CM2" i="17"/>
  <c r="CL2" i="17"/>
  <c r="CK2" i="17"/>
  <c r="CJ2" i="17"/>
  <c r="CI2" i="17"/>
  <c r="CH2" i="17"/>
  <c r="CG2" i="17"/>
  <c r="CF2" i="17"/>
  <c r="CE2" i="17"/>
  <c r="CD2" i="17"/>
  <c r="CC2" i="17"/>
  <c r="CB2" i="17"/>
  <c r="CA2" i="17"/>
  <c r="BZ2" i="17"/>
  <c r="BY2" i="17"/>
  <c r="BX2" i="17"/>
  <c r="BW2" i="17"/>
  <c r="BV2" i="17"/>
  <c r="BU2" i="17"/>
  <c r="BT2" i="17"/>
  <c r="BS2" i="17"/>
  <c r="BR2" i="17"/>
  <c r="BQ2" i="17"/>
  <c r="BP2" i="17"/>
  <c r="BO2" i="17"/>
  <c r="BN2" i="17"/>
  <c r="BM2" i="17"/>
  <c r="BL2" i="17"/>
  <c r="BK2" i="17"/>
  <c r="BJ2" i="17"/>
  <c r="BI2" i="17"/>
  <c r="BH2" i="17"/>
  <c r="BG2" i="17"/>
  <c r="BF2" i="17"/>
  <c r="BE2" i="17"/>
  <c r="BD2" i="17"/>
  <c r="BC2" i="17"/>
  <c r="BB2" i="17"/>
  <c r="BA2" i="17"/>
  <c r="AZ2" i="17"/>
  <c r="AY2" i="17"/>
  <c r="AX2" i="17"/>
  <c r="AW2" i="17"/>
  <c r="AV2" i="17"/>
  <c r="AU2" i="17"/>
  <c r="AT2" i="17"/>
  <c r="AS2" i="17"/>
  <c r="AR2" i="17"/>
  <c r="AQ2" i="17"/>
  <c r="AP2" i="17"/>
  <c r="AO2" i="17"/>
  <c r="AN2" i="17"/>
  <c r="AM2" i="17"/>
  <c r="AL2" i="17"/>
  <c r="AK2" i="17"/>
  <c r="AJ2" i="17"/>
  <c r="AI2" i="17"/>
  <c r="AH2" i="17"/>
  <c r="AG2" i="17"/>
  <c r="AF2" i="17"/>
  <c r="AE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DC36" i="14"/>
  <c r="DC17" i="14"/>
  <c r="DC27" i="14"/>
  <c r="DC29" i="14"/>
  <c r="DC46" i="14"/>
  <c r="DC34" i="14"/>
  <c r="DC7" i="14"/>
  <c r="DC5" i="14"/>
  <c r="DC8" i="14"/>
  <c r="DC12" i="14"/>
  <c r="DC6" i="16"/>
  <c r="DC8" i="16"/>
  <c r="DC9" i="16"/>
  <c r="DC5" i="16"/>
  <c r="DC7" i="16"/>
  <c r="DC10" i="16"/>
  <c r="DC60" i="14"/>
  <c r="DC47" i="14"/>
  <c r="DC19" i="14"/>
  <c r="DC45" i="14"/>
  <c r="DC48" i="14"/>
  <c r="DC64" i="14"/>
  <c r="DC63" i="14"/>
  <c r="DC21" i="14"/>
  <c r="DC11" i="14"/>
  <c r="DC37" i="14"/>
  <c r="DC66" i="14"/>
  <c r="DC26" i="14"/>
  <c r="DC53" i="14"/>
  <c r="DC33" i="14"/>
  <c r="DC42" i="14"/>
  <c r="DC39" i="14"/>
  <c r="DC55" i="14"/>
  <c r="DC31" i="14"/>
  <c r="DC9" i="14"/>
  <c r="DC13" i="14"/>
  <c r="DC52" i="14"/>
  <c r="DC25" i="14"/>
  <c r="DC50" i="14"/>
  <c r="DC16" i="14"/>
  <c r="DC10" i="14"/>
  <c r="DB27" i="18" l="1"/>
  <c r="DB6" i="18"/>
  <c r="DB8" i="18"/>
  <c r="DB23" i="18"/>
  <c r="DB21" i="18"/>
  <c r="DB13" i="18"/>
  <c r="DB16" i="18"/>
  <c r="DB26" i="18"/>
  <c r="DB5" i="18"/>
  <c r="DB20" i="18"/>
  <c r="DB14" i="18"/>
  <c r="DB22" i="18"/>
  <c r="DB15" i="18"/>
  <c r="DB17" i="18"/>
  <c r="DB18" i="18"/>
  <c r="DB24" i="18"/>
  <c r="DB29" i="18"/>
  <c r="DB9" i="18"/>
  <c r="DB10" i="18"/>
  <c r="DB12" i="18"/>
  <c r="DB25" i="18"/>
  <c r="DB7" i="18"/>
  <c r="DB19" i="18"/>
  <c r="DB28" i="18"/>
  <c r="DB11" i="18"/>
  <c r="DB9" i="17"/>
  <c r="DB8" i="17"/>
  <c r="DB19" i="17"/>
  <c r="DB17" i="17"/>
  <c r="DB13" i="17"/>
  <c r="DB5" i="17"/>
  <c r="DB7" i="17"/>
  <c r="DB20" i="17"/>
  <c r="DB14" i="17"/>
  <c r="DB15" i="17"/>
  <c r="DB11" i="17"/>
  <c r="DB10" i="17"/>
  <c r="DB16" i="17"/>
  <c r="DB12" i="17"/>
  <c r="DB18" i="17"/>
  <c r="DB6" i="17"/>
  <c r="DA2" i="16"/>
  <c r="CZ2" i="16"/>
  <c r="CY2" i="16"/>
  <c r="CX2" i="16"/>
  <c r="CW2" i="16"/>
  <c r="CV2" i="16"/>
  <c r="CU2" i="16"/>
  <c r="CT2" i="16"/>
  <c r="CS2" i="16"/>
  <c r="CR2" i="16"/>
  <c r="CQ2" i="16"/>
  <c r="CP2" i="16"/>
  <c r="CO2" i="16"/>
  <c r="CN2" i="16"/>
  <c r="CM2" i="16"/>
  <c r="CL2" i="16"/>
  <c r="CK2" i="16"/>
  <c r="CJ2" i="16"/>
  <c r="CI2" i="16"/>
  <c r="CH2" i="16"/>
  <c r="CG2" i="16"/>
  <c r="CF2" i="16"/>
  <c r="CE2" i="16"/>
  <c r="CD2" i="16"/>
  <c r="CC2" i="16"/>
  <c r="CB2" i="16"/>
  <c r="CA2" i="16"/>
  <c r="BZ2" i="16"/>
  <c r="BY2" i="16"/>
  <c r="BX2" i="16"/>
  <c r="BW2" i="16"/>
  <c r="BV2" i="16"/>
  <c r="BU2" i="16"/>
  <c r="BT2" i="16"/>
  <c r="BS2" i="16"/>
  <c r="BR2" i="16"/>
  <c r="BQ2" i="16"/>
  <c r="BP2" i="16"/>
  <c r="BO2" i="16"/>
  <c r="BN2" i="16"/>
  <c r="BM2" i="16"/>
  <c r="BL2" i="16"/>
  <c r="BK2" i="16"/>
  <c r="BJ2" i="16"/>
  <c r="BI2" i="16"/>
  <c r="BH2" i="16"/>
  <c r="BG2" i="16"/>
  <c r="BF2" i="16"/>
  <c r="BE2" i="16"/>
  <c r="BD2" i="16"/>
  <c r="BC2" i="16"/>
  <c r="BB2" i="16"/>
  <c r="BA2" i="16"/>
  <c r="AZ2" i="16"/>
  <c r="AY2" i="16"/>
  <c r="AX2" i="16"/>
  <c r="AW2" i="16"/>
  <c r="AV2" i="16"/>
  <c r="AU2" i="16"/>
  <c r="AT2" i="16"/>
  <c r="AS2" i="16"/>
  <c r="AR2" i="16"/>
  <c r="AQ2" i="16"/>
  <c r="AP2" i="16"/>
  <c r="AO2" i="16"/>
  <c r="AN2" i="16"/>
  <c r="AM2" i="16"/>
  <c r="AL2" i="16"/>
  <c r="AK2" i="16"/>
  <c r="AJ2" i="16"/>
  <c r="AI2" i="16"/>
  <c r="AH2" i="16"/>
  <c r="AG2" i="16"/>
  <c r="AF2" i="16"/>
  <c r="AE2" i="16"/>
  <c r="AD2" i="16"/>
  <c r="AC2" i="16"/>
  <c r="AB2" i="16"/>
  <c r="AA2" i="16"/>
  <c r="Z2" i="16"/>
  <c r="Y2" i="16"/>
  <c r="X2" i="16"/>
  <c r="W2" i="16"/>
  <c r="V2" i="16"/>
  <c r="U2" i="16"/>
  <c r="T2" i="16"/>
  <c r="S2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BR2" i="14"/>
  <c r="BS2" i="14"/>
  <c r="BT2" i="14"/>
  <c r="BU2" i="14"/>
  <c r="BV2" i="14"/>
  <c r="BW2" i="14"/>
  <c r="BX2" i="14"/>
  <c r="BY2" i="14"/>
  <c r="BZ2" i="14"/>
  <c r="CA2" i="14"/>
  <c r="CB2" i="14"/>
  <c r="CC2" i="14"/>
  <c r="CD2" i="14"/>
  <c r="CE2" i="14"/>
  <c r="CF2" i="14"/>
  <c r="CG2" i="14"/>
  <c r="CH2" i="14"/>
  <c r="CI2" i="14"/>
  <c r="CJ2" i="14"/>
  <c r="CK2" i="14"/>
  <c r="CL2" i="14"/>
  <c r="CM2" i="14"/>
  <c r="CN2" i="14"/>
  <c r="CO2" i="14"/>
  <c r="CP2" i="14"/>
  <c r="CQ2" i="14"/>
  <c r="CR2" i="14"/>
  <c r="CS2" i="14"/>
  <c r="CT2" i="14"/>
  <c r="CU2" i="14"/>
  <c r="CV2" i="14"/>
  <c r="CW2" i="14"/>
  <c r="CX2" i="14"/>
  <c r="CY2" i="14"/>
  <c r="CZ2" i="14"/>
  <c r="DA2" i="14"/>
  <c r="AE2" i="14"/>
  <c r="AF2" i="14"/>
  <c r="AG2" i="14"/>
  <c r="AH2" i="14"/>
  <c r="AI2" i="14"/>
  <c r="AJ2" i="14"/>
  <c r="AK2" i="14"/>
  <c r="AL2" i="14"/>
  <c r="AM2" i="14"/>
  <c r="AN2" i="14"/>
  <c r="AO2" i="14"/>
  <c r="AP2" i="14"/>
  <c r="AQ2" i="14"/>
  <c r="AR2" i="14"/>
  <c r="AS2" i="14"/>
  <c r="AT2" i="14"/>
  <c r="AU2" i="14"/>
  <c r="AV2" i="14"/>
  <c r="AW2" i="14"/>
  <c r="AX2" i="14"/>
  <c r="AY2" i="14"/>
  <c r="AZ2" i="14"/>
  <c r="BA2" i="14"/>
  <c r="BB2" i="14"/>
  <c r="BC2" i="14"/>
  <c r="BD2" i="14"/>
  <c r="BE2" i="14"/>
  <c r="BF2" i="14"/>
  <c r="BG2" i="14"/>
  <c r="BH2" i="14"/>
  <c r="BI2" i="14"/>
  <c r="BJ2" i="14"/>
  <c r="BK2" i="14"/>
  <c r="BL2" i="14"/>
  <c r="BM2" i="14"/>
  <c r="BN2" i="14"/>
  <c r="BO2" i="14"/>
  <c r="BP2" i="14"/>
  <c r="BQ2" i="14"/>
  <c r="F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DB38" i="14" l="1"/>
  <c r="DB14" i="14"/>
  <c r="DB44" i="14"/>
  <c r="DB69" i="14"/>
  <c r="DB61" i="14"/>
  <c r="DB15" i="14"/>
  <c r="DB51" i="14"/>
  <c r="DB18" i="14"/>
  <c r="DB59" i="14"/>
  <c r="DB22" i="14"/>
  <c r="DB62" i="14"/>
  <c r="DB32" i="14"/>
  <c r="DB11" i="16"/>
  <c r="DB12" i="16"/>
  <c r="DB40" i="14"/>
  <c r="DB57" i="14"/>
  <c r="DB23" i="14"/>
  <c r="DB54" i="14"/>
  <c r="DB67" i="14"/>
  <c r="DB58" i="14"/>
  <c r="DB70" i="14"/>
  <c r="DB6" i="14"/>
  <c r="DB28" i="14"/>
  <c r="DB56" i="14"/>
  <c r="DB20" i="14"/>
  <c r="DB43" i="14"/>
  <c r="DB30" i="14"/>
  <c r="DB35" i="14"/>
  <c r="DB65" i="14"/>
  <c r="DB41" i="14"/>
  <c r="DB68" i="14"/>
  <c r="DB49" i="14"/>
  <c r="DB24" i="14"/>
  <c r="DB5" i="16"/>
  <c r="DB8" i="16"/>
  <c r="DB6" i="16"/>
  <c r="DB9" i="16"/>
  <c r="DB10" i="16"/>
  <c r="DB7" i="16"/>
  <c r="DB42" i="14"/>
  <c r="DB11" i="14"/>
  <c r="DB25" i="14"/>
  <c r="DB63" i="14"/>
  <c r="DB66" i="14"/>
  <c r="DB36" i="14"/>
  <c r="DB31" i="14"/>
  <c r="DB55" i="14"/>
  <c r="DB48" i="14"/>
  <c r="DB47" i="14"/>
  <c r="DB45" i="14"/>
  <c r="DB10" i="14"/>
  <c r="DB21" i="14"/>
  <c r="DB53" i="14"/>
  <c r="DB39" i="14"/>
  <c r="DB12" i="14"/>
  <c r="DB5" i="14"/>
  <c r="DB34" i="14"/>
  <c r="DB60" i="14"/>
  <c r="DB19" i="14"/>
  <c r="DB37" i="14"/>
  <c r="DB9" i="14"/>
  <c r="DB26" i="14"/>
  <c r="DB50" i="14"/>
  <c r="DB7" i="14"/>
  <c r="DB17" i="14"/>
  <c r="DB27" i="14"/>
  <c r="DB52" i="14"/>
  <c r="DB16" i="14"/>
  <c r="DB13" i="14"/>
  <c r="DB64" i="14"/>
  <c r="DB46" i="14"/>
  <c r="DB33" i="14"/>
  <c r="DB8" i="14"/>
  <c r="DB29" i="14"/>
</calcChain>
</file>

<file path=xl/sharedStrings.xml><?xml version="1.0" encoding="utf-8"?>
<sst xmlns="http://schemas.openxmlformats.org/spreadsheetml/2006/main" count="864" uniqueCount="355">
  <si>
    <t>Vārds</t>
  </si>
  <si>
    <t>Uzvārds</t>
  </si>
  <si>
    <t>Klubs</t>
  </si>
  <si>
    <t>Valsts</t>
  </si>
  <si>
    <t>Flash</t>
  </si>
  <si>
    <t>Redpoint</t>
  </si>
  <si>
    <t>Vieta</t>
  </si>
  <si>
    <t>Balles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</si>
  <si>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</si>
  <si>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</si>
  <si>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</si>
  <si>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</si>
  <si>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</si>
  <si>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</si>
  <si>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</si>
  <si>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</si>
  <si>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</si>
  <si>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</si>
  <si>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</si>
  <si>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</si>
  <si>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</si>
  <si>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</si>
  <si>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</si>
  <si>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</si>
  <si>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</si>
  <si>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</si>
  <si>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</si>
  <si>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</si>
  <si>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</si>
  <si>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</si>
  <si>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</si>
  <si>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</si>
  <si>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</si>
  <si>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Result</t>
  </si>
  <si>
    <t>Maršruta vērtība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</si>
  <si>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</si>
  <si>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</si>
  <si>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</si>
  <si>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</si>
  <si>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</si>
  <si>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</si>
  <si>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</si>
  <si>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</si>
  <si>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</si>
  <si>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</si>
  <si>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</si>
  <si>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</si>
  <si>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</si>
  <si>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</si>
  <si>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</si>
  <si>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</si>
  <si>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</si>
  <si>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</si>
  <si>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</si>
  <si>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</si>
  <si>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</si>
  <si>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</si>
  <si>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</si>
  <si>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</si>
  <si>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</si>
  <si>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</si>
  <si>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</si>
  <si>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</si>
  <si>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</si>
  <si>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</si>
  <si>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</si>
  <si>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</si>
  <si>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</si>
  <si>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</si>
  <si>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</si>
  <si>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</si>
  <si>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</si>
  <si>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</si>
  <si>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</si>
  <si>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</si>
  <si>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</si>
  <si>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</si>
  <si>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</si>
  <si>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</si>
  <si>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</si>
  <si>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</si>
  <si>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</si>
  <si>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</si>
  <si>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</si>
  <si>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</si>
  <si>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</si>
  <si>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</si>
  <si>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</si>
  <si>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</si>
  <si>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</si>
  <si>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</si>
  <si>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</si>
  <si>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</si>
  <si>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</si>
  <si>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</si>
  <si>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</si>
  <si>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</si>
  <si>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</si>
  <si>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</si>
  <si>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</si>
  <si>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</si>
  <si>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</si>
  <si>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</si>
  <si>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</si>
  <si>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</si>
  <si>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</si>
  <si>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</si>
  <si>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</si>
  <si>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</si>
  <si>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</si>
  <si>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Grupējums</t>
  </si>
  <si>
    <t>Alla</t>
  </si>
  <si>
    <t>Marenych</t>
  </si>
  <si>
    <t>Cirvele</t>
  </si>
  <si>
    <t>Katrīna</t>
  </si>
  <si>
    <t>Anastassia</t>
  </si>
  <si>
    <t>Hisamova</t>
  </si>
  <si>
    <t>EST</t>
  </si>
  <si>
    <t>Agita</t>
  </si>
  <si>
    <t>Dreimane</t>
  </si>
  <si>
    <t>Kristīne</t>
  </si>
  <si>
    <t>Rjabova</t>
  </si>
  <si>
    <t>Madara</t>
  </si>
  <si>
    <t>Berga</t>
  </si>
  <si>
    <t>Anna</t>
  </si>
  <si>
    <t>Krasanova</t>
  </si>
  <si>
    <t>Santa</t>
  </si>
  <si>
    <t>Ansonska</t>
  </si>
  <si>
    <t>Voronova</t>
  </si>
  <si>
    <t>RUS</t>
  </si>
  <si>
    <t>PSKOV</t>
  </si>
  <si>
    <t>Aleksandr</t>
  </si>
  <si>
    <t>Shorikov</t>
  </si>
  <si>
    <t>Artūrs</t>
  </si>
  <si>
    <t>Dombrovskis</t>
  </si>
  <si>
    <t>Virsotne</t>
  </si>
  <si>
    <t>Edvards</t>
  </si>
  <si>
    <t>Gruzītis</t>
  </si>
  <si>
    <t>Romans</t>
  </si>
  <si>
    <t>Pjahns</t>
  </si>
  <si>
    <t>Edgars</t>
  </si>
  <si>
    <t>Čibulis</t>
  </si>
  <si>
    <t>Pēteris</t>
  </si>
  <si>
    <t>Meirāns</t>
  </si>
  <si>
    <t>Mihhail</t>
  </si>
  <si>
    <t>Kulakov</t>
  </si>
  <si>
    <t>Jurģis</t>
  </si>
  <si>
    <t>Sudārs</t>
  </si>
  <si>
    <t>Igors</t>
  </si>
  <si>
    <t>Traverss</t>
  </si>
  <si>
    <t>Kārlis</t>
  </si>
  <si>
    <t>Lauva</t>
  </si>
  <si>
    <t>Abs For Kebabs</t>
  </si>
  <si>
    <t>Mārtiņš</t>
  </si>
  <si>
    <t>Spilners</t>
  </si>
  <si>
    <t>Valdis</t>
  </si>
  <si>
    <t>Bergs</t>
  </si>
  <si>
    <t>Kessler</t>
  </si>
  <si>
    <t>Leonhard</t>
  </si>
  <si>
    <t>GER</t>
  </si>
  <si>
    <t>Emīls Jānis</t>
  </si>
  <si>
    <t>Nemše</t>
  </si>
  <si>
    <t>RSP</t>
  </si>
  <si>
    <t>Henrico</t>
  </si>
  <si>
    <t>Laprise</t>
  </si>
  <si>
    <t>CAN</t>
  </si>
  <si>
    <t>Delire</t>
  </si>
  <si>
    <t>Jurij</t>
  </si>
  <si>
    <t>Bronin</t>
  </si>
  <si>
    <t>Aleksandrs</t>
  </si>
  <si>
    <t>Koļasa</t>
  </si>
  <si>
    <t>Luksis</t>
  </si>
  <si>
    <t>Atsaite</t>
  </si>
  <si>
    <t>Sandijs</t>
  </si>
  <si>
    <t>Jercums</t>
  </si>
  <si>
    <t>Kristaps</t>
  </si>
  <si>
    <t>Brūns</t>
  </si>
  <si>
    <t>Jūlija</t>
  </si>
  <si>
    <t>Popova</t>
  </si>
  <si>
    <t>BONOBO</t>
  </si>
  <si>
    <t>Ksenija</t>
  </si>
  <si>
    <t>Dobržinska</t>
  </si>
  <si>
    <t>BLR</t>
  </si>
  <si>
    <t>Ihar</t>
  </si>
  <si>
    <t>Fiodarau</t>
  </si>
  <si>
    <t>Artsiom</t>
  </si>
  <si>
    <t>Damashevioh</t>
  </si>
  <si>
    <t>Justinas</t>
  </si>
  <si>
    <t>Kozeiva</t>
  </si>
  <si>
    <t>MM</t>
  </si>
  <si>
    <t>Gediminas</t>
  </si>
  <si>
    <t>Blerevičius</t>
  </si>
  <si>
    <t>Rolands</t>
  </si>
  <si>
    <t>Timothy</t>
  </si>
  <si>
    <t>Loh</t>
  </si>
  <si>
    <t>Andrejs</t>
  </si>
  <si>
    <t>Derevjanko</t>
  </si>
  <si>
    <t>Joris</t>
  </si>
  <si>
    <t>Leipus</t>
  </si>
  <si>
    <t>Oskars</t>
  </si>
  <si>
    <t>Stankevičs</t>
  </si>
  <si>
    <t>Bruno</t>
  </si>
  <si>
    <t>Dāvids</t>
  </si>
  <si>
    <t>Vladimirs</t>
  </si>
  <si>
    <t>Alīna</t>
  </si>
  <si>
    <t>Miranoviča</t>
  </si>
  <si>
    <t>Morozov</t>
  </si>
  <si>
    <t>Denis</t>
  </si>
  <si>
    <t>Klimenko</t>
  </si>
  <si>
    <t>Pozarskis</t>
  </si>
  <si>
    <t>Hanna</t>
  </si>
  <si>
    <t>Tarletskaya</t>
  </si>
  <si>
    <t>Jekaterina</t>
  </si>
  <si>
    <t>Koževņikova</t>
  </si>
  <si>
    <t>Maria</t>
  </si>
  <si>
    <t>Vita</t>
  </si>
  <si>
    <t>Ronilane</t>
  </si>
  <si>
    <t>Toivo</t>
  </si>
  <si>
    <t>Parnpuu</t>
  </si>
  <si>
    <t>Taavi</t>
  </si>
  <si>
    <t>Loohe</t>
  </si>
  <si>
    <t>Evgeny</t>
  </si>
  <si>
    <t>Kachanovsky</t>
  </si>
  <si>
    <t>Minsk</t>
  </si>
  <si>
    <t>Andrey</t>
  </si>
  <si>
    <t>Demchuk</t>
  </si>
  <si>
    <t>Ivan</t>
  </si>
  <si>
    <t>Ginok</t>
  </si>
  <si>
    <t>Kiril</t>
  </si>
  <si>
    <t>Lipski</t>
  </si>
  <si>
    <t>Prohhorov</t>
  </si>
  <si>
    <t>TKK</t>
  </si>
  <si>
    <t>Beļajevs</t>
  </si>
  <si>
    <t>Butanovs</t>
  </si>
  <si>
    <t>Arnis</t>
  </si>
  <si>
    <t>Grišans</t>
  </si>
  <si>
    <t>Klāvs</t>
  </si>
  <si>
    <t>Kokins</t>
  </si>
  <si>
    <t>Yeti Family</t>
  </si>
  <si>
    <t>Aigars</t>
  </si>
  <si>
    <t>Puriņš</t>
  </si>
  <si>
    <t>Justine</t>
  </si>
  <si>
    <t>Zohaite</t>
  </si>
  <si>
    <t>Montis Magia</t>
  </si>
  <si>
    <t>Goda</t>
  </si>
  <si>
    <t>Šimkonyte</t>
  </si>
  <si>
    <t>Ieva</t>
  </si>
  <si>
    <t>Juta</t>
  </si>
  <si>
    <t>Blaževiča</t>
  </si>
  <si>
    <t>Irists</t>
  </si>
  <si>
    <t>Kalka</t>
  </si>
  <si>
    <t>Eduards</t>
  </si>
  <si>
    <t>Mikhail</t>
  </si>
  <si>
    <t>Scala Dream</t>
  </si>
  <si>
    <t>Kochetkov</t>
  </si>
  <si>
    <t>Tatjana</t>
  </si>
  <si>
    <t>Falkors</t>
  </si>
  <si>
    <t>Vidauskis</t>
  </si>
  <si>
    <t>Nauris</t>
  </si>
  <si>
    <t>Hofmanis</t>
  </si>
  <si>
    <t>Remoss</t>
  </si>
  <si>
    <t>Svetlana</t>
  </si>
  <si>
    <t>Visočina</t>
  </si>
  <si>
    <t>Anastasija</t>
  </si>
  <si>
    <t>Teriochina</t>
  </si>
  <si>
    <t>Feldmanis</t>
  </si>
  <si>
    <t>Severīns</t>
  </si>
  <si>
    <t>Kaužēns</t>
  </si>
  <si>
    <t>Vītols</t>
  </si>
  <si>
    <t>Svjatovs</t>
  </si>
  <si>
    <t>Margarita</t>
  </si>
  <si>
    <t>Peteļina</t>
  </si>
  <si>
    <t>Jānis</t>
  </si>
  <si>
    <t>Veckalns</t>
  </si>
  <si>
    <t>Grauduma</t>
  </si>
  <si>
    <t>Kurel</t>
  </si>
  <si>
    <t>Līga</t>
  </si>
  <si>
    <t>Šuikovska</t>
  </si>
  <si>
    <t>Līna</t>
  </si>
  <si>
    <t>Karkliņa</t>
  </si>
  <si>
    <t>Novadnieki</t>
  </si>
  <si>
    <t>Dzintars</t>
  </si>
  <si>
    <t>Irbe</t>
  </si>
  <si>
    <t>Kalniņš</t>
  </si>
  <si>
    <t>Gundars</t>
  </si>
  <si>
    <t>Leitis</t>
  </si>
  <si>
    <t>Zigmārs</t>
  </si>
  <si>
    <t>1,31,3</t>
  </si>
  <si>
    <t>Ilze</t>
  </si>
  <si>
    <t>Ruka</t>
  </si>
  <si>
    <t>Šakeļs</t>
  </si>
  <si>
    <t>Krišjānis</t>
  </si>
  <si>
    <t>Kucins</t>
  </si>
  <si>
    <t>Sandis</t>
  </si>
  <si>
    <t>Radziņš</t>
  </si>
  <si>
    <t>Pavilas</t>
  </si>
  <si>
    <t>Pihinis</t>
  </si>
  <si>
    <t>Lietuvos Kučokai</t>
  </si>
  <si>
    <t>Deimante</t>
  </si>
  <si>
    <t>Gaigalaite</t>
  </si>
  <si>
    <t>MD</t>
  </si>
  <si>
    <t>Darja</t>
  </si>
  <si>
    <t>Frolova</t>
  </si>
  <si>
    <t>Rugile</t>
  </si>
  <si>
    <t>Tamošiūnaite</t>
  </si>
  <si>
    <t>Vladimir</t>
  </si>
  <si>
    <t>Galkin</t>
  </si>
  <si>
    <t>Ilja</t>
  </si>
  <si>
    <t>Gaiduk</t>
  </si>
  <si>
    <t>Austris</t>
  </si>
  <si>
    <t>Cīrulnieks</t>
  </si>
  <si>
    <t>Uldis</t>
  </si>
  <si>
    <t>Lasmanis</t>
  </si>
  <si>
    <t>Vilius</t>
  </si>
  <si>
    <t>Varkalys</t>
  </si>
  <si>
    <t>Artūras</t>
  </si>
  <si>
    <t>Volkovas</t>
  </si>
  <si>
    <t>LTU</t>
  </si>
  <si>
    <t>Zakrevskis</t>
  </si>
  <si>
    <t>Arvis</t>
  </si>
  <si>
    <t>Balodis</t>
  </si>
  <si>
    <t>Viesturs</t>
  </si>
  <si>
    <t>Luka-Indāns</t>
  </si>
  <si>
    <t>Juris</t>
  </si>
  <si>
    <t>Zīģelis</t>
  </si>
  <si>
    <t>Lūzumpunkts</t>
  </si>
  <si>
    <t>Georgijs</t>
  </si>
  <si>
    <t>Samoilenko</t>
  </si>
  <si>
    <t>Vaclav</t>
  </si>
  <si>
    <t>Pāvels</t>
  </si>
  <si>
    <t>Tulovskis</t>
  </si>
  <si>
    <t>Lev</t>
  </si>
  <si>
    <t>Votjagailovski</t>
  </si>
  <si>
    <t>Nikita</t>
  </si>
  <si>
    <t>Bovenko</t>
  </si>
  <si>
    <t>Mūrnieks</t>
  </si>
  <si>
    <t>Rihards Uldis</t>
  </si>
  <si>
    <t>Sproģis</t>
  </si>
  <si>
    <t>Alise</t>
  </si>
  <si>
    <t>Drozdova</t>
  </si>
  <si>
    <t>Elza</t>
  </si>
  <si>
    <t>Ķuze</t>
  </si>
  <si>
    <t>Dominas</t>
  </si>
  <si>
    <t>Matas</t>
  </si>
  <si>
    <t>CZE</t>
  </si>
  <si>
    <t>MYS</t>
  </si>
  <si>
    <t>LVA</t>
  </si>
  <si>
    <t>LVA/UKR</t>
  </si>
  <si>
    <t>Skala</t>
  </si>
  <si>
    <t>BJC Daugmale</t>
  </si>
  <si>
    <t>FBC Dingo</t>
  </si>
  <si>
    <t>Timurs</t>
  </si>
  <si>
    <t>Galejevs</t>
  </si>
  <si>
    <t>Stepanovs</t>
  </si>
  <si>
    <t>Hrustaļovs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</si>
</sst>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7" xfId="0" applyFont="1" applyBorder="1"/>
    <xf numFmtId="0" fontId="0" fillId="0" borderId="1" xfId="0" applyNumberFormat="1" applyFill="1" applyBorder="1"/>
    <xf numFmtId="0" fontId="0" fillId="0" borderId="6" xfId="0" applyNumberFormat="1" applyFill="1" applyBorder="1"/>
    <xf numFmtId="0" fontId="1" fillId="0" borderId="8" xfId="0" applyFont="1" applyBorder="1"/>
    <xf numFmtId="0" fontId="1" fillId="2" borderId="3" xfId="0" applyFont="1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8" xfId="0" applyFont="1" applyFill="1" applyBorder="1"/>
    <xf numFmtId="0" fontId="0" fillId="2" borderId="3" xfId="0" applyFill="1" applyBorder="1"/>
    <xf numFmtId="0" fontId="0" fillId="0" borderId="8" xfId="0" applyFill="1" applyBorder="1"/>
    <xf numFmtId="0" fontId="0" fillId="0" borderId="8" xfId="0" applyNumberFormat="1" applyFill="1" applyBorder="1"/>
    <xf numFmtId="0" fontId="0" fillId="2" borderId="5" xfId="0" applyFill="1" applyBorder="1"/>
    <xf numFmtId="0" fontId="0" fillId="2" borderId="1" xfId="0" applyNumberFormat="1" applyFill="1" applyBorder="1"/>
    <xf numFmtId="0" fontId="0" fillId="2" borderId="4" xfId="0" applyFill="1" applyBorder="1"/>
    <xf numFmtId="0" fontId="0" fillId="2" borderId="3" xfId="0" applyNumberFormat="1" applyFill="1" applyBorder="1"/>
    <xf numFmtId="0" fontId="0" fillId="3" borderId="6" xfId="0" applyFill="1" applyBorder="1"/>
    <xf numFmtId="0" fontId="0" fillId="3" borderId="1" xfId="0" applyNumberFormat="1" applyFill="1" applyBorder="1"/>
    <xf numFmtId="0" fontId="0" fillId="3" borderId="6" xfId="0" applyNumberFormat="1" applyFill="1" applyBorder="1"/>
    <xf numFmtId="0" fontId="0" fillId="3" borderId="1" xfId="0" applyFill="1" applyBorder="1"/>
    <xf numFmtId="0" fontId="0" fillId="0" borderId="0" xfId="0" applyFill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2" fillId="3" borderId="0" xfId="0" applyFont="1" applyFill="1"/>
    <xf numFmtId="0" fontId="3" fillId="3" borderId="3" xfId="0" applyFont="1" applyFill="1" applyBorder="1"/>
    <xf numFmtId="0" fontId="2" fillId="3" borderId="6" xfId="0" applyFont="1" applyFill="1" applyBorder="1"/>
    <xf numFmtId="0" fontId="2" fillId="2" borderId="6" xfId="0" applyFont="1" applyFill="1" applyBorder="1"/>
    <xf numFmtId="0" fontId="0" fillId="0" borderId="0" xfId="0" applyAlignment="1">
      <alignment horizontal="center"/>
    </xf>
  </cellXfs>
  <cellStyles count="1">
    <cellStyle name="Parasts" xfId="0" builtinId="0"/>
  </cellStyles>
  <dxfs count="450">
    <dxf>
      <numFmt numFmtId="0" formatCode="General"/>
      <fill>
        <patternFill patternType="none">
          <fgColor rgb="FF000000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rgb="FF000000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rgb="FF000000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rgb="FF000000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rgb="FF000000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rgb="FF000000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rgb="FF000000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0" formatCode="General"/>
      <fill>
        <patternFill patternType="none">
          <fgColor rgb="FF000000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49"/>
      <tableStyleElement type="headerRow" dxfId="4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623" displayName="Table4623" ref="A4:DC20" totalsRowShown="0" headerRowDxfId="447" dataDxfId="445" headerRowBorderDxfId="446" tableBorderDxfId="444" totalsRowBorderDxfId="443">
  <autoFilter ref="A4:DC20" xr:uid="{00000000-0009-0000-0100-000002000000}"/>
  <sortState ref="A5:DD20">
    <sortCondition descending="1" ref="DB4:DB20"/>
  </sortState>
  <tableColumns count="107">
    <tableColumn id="1" xr3:uid="{00000000-0010-0000-0000-000001000000}" name="Vieta" dataDxfId="442"/>
    <tableColumn id="2" xr3:uid="{00000000-0010-0000-0000-000002000000}" name="Vārds" dataDxfId="441"/>
    <tableColumn id="3" xr3:uid="{00000000-0010-0000-0000-000003000000}" name="Uzvārds" dataDxfId="440"/>
    <tableColumn id="4" xr3:uid="{00000000-0010-0000-0000-000004000000}" name="Valsts" dataDxfId="439"/>
    <tableColumn id="5" xr3:uid="{00000000-0010-0000-0000-000005000000}" name="Klubs" dataDxfId="438"/>
    <tableColumn id="6" xr3:uid="{00000000-0010-0000-0000-000006000000}" name="1" dataDxfId="437"/>
    <tableColumn id="7" xr3:uid="{00000000-0010-0000-0000-000007000000}" name="2" dataDxfId="436"/>
    <tableColumn id="8" xr3:uid="{00000000-0010-0000-0000-000008000000}" name="3" dataDxfId="435"/>
    <tableColumn id="9" xr3:uid="{00000000-0010-0000-0000-000009000000}" name="4" dataDxfId="434"/>
    <tableColumn id="10" xr3:uid="{00000000-0010-0000-0000-00000A000000}" name="5" dataDxfId="433"/>
    <tableColumn id="11" xr3:uid="{00000000-0010-0000-0000-00000B000000}" name="6" dataDxfId="432"/>
    <tableColumn id="12" xr3:uid="{00000000-0010-0000-0000-00000C000000}" name="7" dataDxfId="431"/>
    <tableColumn id="13" xr3:uid="{00000000-0010-0000-0000-00000D000000}" name="8" dataDxfId="430"/>
    <tableColumn id="14" xr3:uid="{00000000-0010-0000-0000-00000E000000}" name="9" dataDxfId="429"/>
    <tableColumn id="15" xr3:uid="{00000000-0010-0000-0000-00000F000000}" name="10" dataDxfId="428"/>
    <tableColumn id="16" xr3:uid="{00000000-0010-0000-0000-000010000000}" name="11" dataDxfId="427"/>
    <tableColumn id="17" xr3:uid="{00000000-0010-0000-0000-000011000000}" name="12" dataDxfId="426"/>
    <tableColumn id="18" xr3:uid="{00000000-0010-0000-0000-000012000000}" name="13" dataDxfId="425"/>
    <tableColumn id="19" xr3:uid="{00000000-0010-0000-0000-000013000000}" name="14" dataDxfId="424"/>
    <tableColumn id="20" xr3:uid="{00000000-0010-0000-0000-000014000000}" name="15" dataDxfId="423"/>
    <tableColumn id="21" xr3:uid="{00000000-0010-0000-0000-000015000000}" name="16" dataDxfId="422"/>
    <tableColumn id="22" xr3:uid="{00000000-0010-0000-0000-000016000000}" name="17" dataDxfId="421"/>
    <tableColumn id="23" xr3:uid="{00000000-0010-0000-0000-000017000000}" name="18" dataDxfId="420"/>
    <tableColumn id="24" xr3:uid="{00000000-0010-0000-0000-000018000000}" name="19" dataDxfId="419"/>
    <tableColumn id="25" xr3:uid="{00000000-0010-0000-0000-000019000000}" name="20" dataDxfId="418"/>
    <tableColumn id="26" xr3:uid="{00000000-0010-0000-0000-00001A000000}" name="21" dataDxfId="417"/>
    <tableColumn id="27" xr3:uid="{00000000-0010-0000-0000-00001B000000}" name="22" dataDxfId="416"/>
    <tableColumn id="28" xr3:uid="{00000000-0010-0000-0000-00001C000000}" name="23" dataDxfId="415"/>
    <tableColumn id="29" xr3:uid="{00000000-0010-0000-0000-00001D000000}" name="24" dataDxfId="414"/>
    <tableColumn id="30" xr3:uid="{00000000-0010-0000-0000-00001E000000}" name="25" dataDxfId="413"/>
    <tableColumn id="32" xr3:uid="{00000000-0010-0000-0000-000020000000}" name="26" dataDxfId="412"/>
    <tableColumn id="33" xr3:uid="{00000000-0010-0000-0000-000021000000}" name="27" dataDxfId="411"/>
    <tableColumn id="34" xr3:uid="{00000000-0010-0000-0000-000022000000}" name="28" dataDxfId="410"/>
    <tableColumn id="35" xr3:uid="{00000000-0010-0000-0000-000023000000}" name="29" dataDxfId="409"/>
    <tableColumn id="36" xr3:uid="{00000000-0010-0000-0000-000024000000}" name="30" dataDxfId="408"/>
    <tableColumn id="37" xr3:uid="{00000000-0010-0000-0000-000025000000}" name="31" dataDxfId="407"/>
    <tableColumn id="38" xr3:uid="{00000000-0010-0000-0000-000026000000}" name="32" dataDxfId="406"/>
    <tableColumn id="39" xr3:uid="{00000000-0010-0000-0000-000027000000}" name="33" dataDxfId="405"/>
    <tableColumn id="40" xr3:uid="{00000000-0010-0000-0000-000028000000}" name="34" dataDxfId="404"/>
    <tableColumn id="41" xr3:uid="{00000000-0010-0000-0000-000029000000}" name="35" dataDxfId="403"/>
    <tableColumn id="42" xr3:uid="{00000000-0010-0000-0000-00002A000000}" name="36" dataDxfId="402"/>
    <tableColumn id="43" xr3:uid="{00000000-0010-0000-0000-00002B000000}" name="37" dataDxfId="401"/>
    <tableColumn id="44" xr3:uid="{00000000-0010-0000-0000-00002C000000}" name="38" dataDxfId="400"/>
    <tableColumn id="45" xr3:uid="{00000000-0010-0000-0000-00002D000000}" name="39" dataDxfId="399"/>
    <tableColumn id="46" xr3:uid="{00000000-0010-0000-0000-00002E000000}" name="40" dataDxfId="398"/>
    <tableColumn id="47" xr3:uid="{00000000-0010-0000-0000-00002F000000}" name="41" dataDxfId="397"/>
    <tableColumn id="48" xr3:uid="{00000000-0010-0000-0000-000030000000}" name="42" dataDxfId="396"/>
    <tableColumn id="49" xr3:uid="{00000000-0010-0000-0000-000031000000}" name="43" dataDxfId="395"/>
    <tableColumn id="50" xr3:uid="{00000000-0010-0000-0000-000032000000}" name="44" dataDxfId="394"/>
    <tableColumn id="51" xr3:uid="{00000000-0010-0000-0000-000033000000}" name="45" dataDxfId="393"/>
    <tableColumn id="52" xr3:uid="{00000000-0010-0000-0000-000034000000}" name="46" dataDxfId="392"/>
    <tableColumn id="53" xr3:uid="{00000000-0010-0000-0000-000035000000}" name="47" dataDxfId="391"/>
    <tableColumn id="54" xr3:uid="{00000000-0010-0000-0000-000036000000}" name="48" dataDxfId="390"/>
    <tableColumn id="55" xr3:uid="{00000000-0010-0000-0000-000037000000}" name="49" dataDxfId="389"/>
    <tableColumn id="56" xr3:uid="{00000000-0010-0000-0000-000038000000}" name="50" dataDxfId="388"/>
    <tableColumn id="57" xr3:uid="{00000000-0010-0000-0000-000039000000}" name="51" dataDxfId="387"/>
    <tableColumn id="58" xr3:uid="{00000000-0010-0000-0000-00003A000000}" name="52" dataDxfId="386"/>
    <tableColumn id="59" xr3:uid="{00000000-0010-0000-0000-00003B000000}" name="53" dataDxfId="385"/>
    <tableColumn id="60" xr3:uid="{00000000-0010-0000-0000-00003C000000}" name="54" dataDxfId="384"/>
    <tableColumn id="61" xr3:uid="{00000000-0010-0000-0000-00003D000000}" name="55" dataDxfId="383"/>
    <tableColumn id="62" xr3:uid="{00000000-0010-0000-0000-00003E000000}" name="56" dataDxfId="382"/>
    <tableColumn id="63" xr3:uid="{00000000-0010-0000-0000-00003F000000}" name="57" dataDxfId="381"/>
    <tableColumn id="64" xr3:uid="{00000000-0010-0000-0000-000040000000}" name="58" dataDxfId="380"/>
    <tableColumn id="65" xr3:uid="{00000000-0010-0000-0000-000041000000}" name="59" dataDxfId="379"/>
    <tableColumn id="66" xr3:uid="{00000000-0010-0000-0000-000042000000}" name="60" dataDxfId="378"/>
    <tableColumn id="67" xr3:uid="{00000000-0010-0000-0000-000043000000}" name="61" dataDxfId="377"/>
    <tableColumn id="68" xr3:uid="{00000000-0010-0000-0000-000044000000}" name="62" dataDxfId="376"/>
    <tableColumn id="69" xr3:uid="{00000000-0010-0000-0000-000045000000}" name="63" dataDxfId="375"/>
    <tableColumn id="70" xr3:uid="{00000000-0010-0000-0000-000046000000}" name="64" dataDxfId="374"/>
    <tableColumn id="71" xr3:uid="{00000000-0010-0000-0000-000047000000}" name="65" dataDxfId="373"/>
    <tableColumn id="72" xr3:uid="{00000000-0010-0000-0000-000048000000}" name="66" dataDxfId="372"/>
    <tableColumn id="73" xr3:uid="{00000000-0010-0000-0000-000049000000}" name="67" dataDxfId="371"/>
    <tableColumn id="74" xr3:uid="{00000000-0010-0000-0000-00004A000000}" name="68" dataDxfId="370"/>
    <tableColumn id="75" xr3:uid="{00000000-0010-0000-0000-00004B000000}" name="69" dataDxfId="369"/>
    <tableColumn id="76" xr3:uid="{00000000-0010-0000-0000-00004C000000}" name="70" dataDxfId="368"/>
    <tableColumn id="77" xr3:uid="{00000000-0010-0000-0000-00004D000000}" name="71" dataDxfId="367"/>
    <tableColumn id="78" xr3:uid="{00000000-0010-0000-0000-00004E000000}" name="72" dataDxfId="366"/>
    <tableColumn id="79" xr3:uid="{00000000-0010-0000-0000-00004F000000}" name="73" dataDxfId="365"/>
    <tableColumn id="80" xr3:uid="{00000000-0010-0000-0000-000050000000}" name="74" dataDxfId="364"/>
    <tableColumn id="81" xr3:uid="{00000000-0010-0000-0000-000051000000}" name="75" dataDxfId="363"/>
    <tableColumn id="82" xr3:uid="{00000000-0010-0000-0000-000052000000}" name="76" dataDxfId="362"/>
    <tableColumn id="83" xr3:uid="{00000000-0010-0000-0000-000053000000}" name="77" dataDxfId="361"/>
    <tableColumn id="84" xr3:uid="{00000000-0010-0000-0000-000054000000}" name="78" dataDxfId="360"/>
    <tableColumn id="85" xr3:uid="{00000000-0010-0000-0000-000055000000}" name="79" dataDxfId="359"/>
    <tableColumn id="86" xr3:uid="{00000000-0010-0000-0000-000056000000}" name="80" dataDxfId="358"/>
    <tableColumn id="87" xr3:uid="{00000000-0010-0000-0000-000057000000}" name="81" dataDxfId="357"/>
    <tableColumn id="88" xr3:uid="{00000000-0010-0000-0000-000058000000}" name="82" dataDxfId="356"/>
    <tableColumn id="89" xr3:uid="{00000000-0010-0000-0000-000059000000}" name="83" dataDxfId="355"/>
    <tableColumn id="90" xr3:uid="{00000000-0010-0000-0000-00005A000000}" name="84" dataDxfId="354"/>
    <tableColumn id="91" xr3:uid="{00000000-0010-0000-0000-00005B000000}" name="85" dataDxfId="353"/>
    <tableColumn id="92" xr3:uid="{00000000-0010-0000-0000-00005C000000}" name="86" dataDxfId="352"/>
    <tableColumn id="93" xr3:uid="{00000000-0010-0000-0000-00005D000000}" name="87" dataDxfId="351"/>
    <tableColumn id="94" xr3:uid="{00000000-0010-0000-0000-00005E000000}" name="88" dataDxfId="350"/>
    <tableColumn id="95" xr3:uid="{00000000-0010-0000-0000-00005F000000}" name="89" dataDxfId="349"/>
    <tableColumn id="96" xr3:uid="{00000000-0010-0000-0000-000060000000}" name="90" dataDxfId="348"/>
    <tableColumn id="97" xr3:uid="{00000000-0010-0000-0000-000061000000}" name="91" dataDxfId="347"/>
    <tableColumn id="98" xr3:uid="{00000000-0010-0000-0000-000062000000}" name="92" dataDxfId="346"/>
    <tableColumn id="99" xr3:uid="{00000000-0010-0000-0000-000063000000}" name="93" dataDxfId="345"/>
    <tableColumn id="100" xr3:uid="{00000000-0010-0000-0000-000064000000}" name="94" dataDxfId="344"/>
    <tableColumn id="101" xr3:uid="{00000000-0010-0000-0000-000065000000}" name="95" dataDxfId="343"/>
    <tableColumn id="102" xr3:uid="{00000000-0010-0000-0000-000066000000}" name="96" dataDxfId="342"/>
    <tableColumn id="103" xr3:uid="{00000000-0010-0000-0000-000067000000}" name="97" dataDxfId="341"/>
    <tableColumn id="104" xr3:uid="{00000000-0010-0000-0000-000068000000}" name="98" dataDxfId="340"/>
    <tableColumn id="105" xr3:uid="{00000000-0010-0000-0000-000069000000}" name="99" dataDxfId="339"/>
    <tableColumn id="106" xr3:uid="{00000000-0010-0000-0000-00006A000000}" name="100" dataDxfId="338"/>
    <tableColumn id="31" xr3:uid="{00000000-0010-0000-0000-00001F000000}" name="Result" dataDxfId="337">
      <calculatedColumnFormula>SUMPRODUCT(Table4623[[#This Row],[1]:[100]],$F$2:$DA$2)</calculatedColumnFormula>
    </tableColumn>
    <tableColumn id="108" xr3:uid="{00000000-0010-0000-0000-00006C000000}" name="Grupējums" dataDxfId="336">
      <calculatedColumnFormula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462" displayName="Table462" ref="A4:DC70" totalsRowShown="0" headerRowDxfId="335" dataDxfId="333" headerRowBorderDxfId="334" tableBorderDxfId="332" totalsRowBorderDxfId="331">
  <autoFilter ref="A4:DC70" xr:uid="{00000000-0009-0000-0100-000001000000}"/>
  <sortState ref="A5:DD83">
    <sortCondition descending="1" ref="DB4:DB83"/>
  </sortState>
  <tableColumns count="107">
    <tableColumn id="1" xr3:uid="{00000000-0010-0000-0100-000001000000}" name="Vieta" dataDxfId="330"/>
    <tableColumn id="2" xr3:uid="{00000000-0010-0000-0100-000002000000}" name="Vārds" dataDxfId="329"/>
    <tableColumn id="3" xr3:uid="{00000000-0010-0000-0100-000003000000}" name="Uzvārds" dataDxfId="328"/>
    <tableColumn id="4" xr3:uid="{00000000-0010-0000-0100-000004000000}" name="Valsts" dataDxfId="327"/>
    <tableColumn id="5" xr3:uid="{00000000-0010-0000-0100-000005000000}" name="Klubs" dataDxfId="326"/>
    <tableColumn id="6" xr3:uid="{00000000-0010-0000-0100-000006000000}" name="1" dataDxfId="325"/>
    <tableColumn id="7" xr3:uid="{00000000-0010-0000-0100-000007000000}" name="2" dataDxfId="324"/>
    <tableColumn id="8" xr3:uid="{00000000-0010-0000-0100-000008000000}" name="3" dataDxfId="323"/>
    <tableColumn id="9" xr3:uid="{00000000-0010-0000-0100-000009000000}" name="4" dataDxfId="322"/>
    <tableColumn id="10" xr3:uid="{00000000-0010-0000-0100-00000A000000}" name="5" dataDxfId="321"/>
    <tableColumn id="11" xr3:uid="{00000000-0010-0000-0100-00000B000000}" name="6" dataDxfId="320"/>
    <tableColumn id="12" xr3:uid="{00000000-0010-0000-0100-00000C000000}" name="7" dataDxfId="319"/>
    <tableColumn id="13" xr3:uid="{00000000-0010-0000-0100-00000D000000}" name="8" dataDxfId="318"/>
    <tableColumn id="14" xr3:uid="{00000000-0010-0000-0100-00000E000000}" name="9" dataDxfId="317"/>
    <tableColumn id="15" xr3:uid="{00000000-0010-0000-0100-00000F000000}" name="10" dataDxfId="316"/>
    <tableColumn id="16" xr3:uid="{00000000-0010-0000-0100-000010000000}" name="11" dataDxfId="315"/>
    <tableColumn id="17" xr3:uid="{00000000-0010-0000-0100-000011000000}" name="12" dataDxfId="314"/>
    <tableColumn id="18" xr3:uid="{00000000-0010-0000-0100-000012000000}" name="13" dataDxfId="313"/>
    <tableColumn id="19" xr3:uid="{00000000-0010-0000-0100-000013000000}" name="14" dataDxfId="312"/>
    <tableColumn id="20" xr3:uid="{00000000-0010-0000-0100-000014000000}" name="15" dataDxfId="311"/>
    <tableColumn id="21" xr3:uid="{00000000-0010-0000-0100-000015000000}" name="16" dataDxfId="310"/>
    <tableColumn id="22" xr3:uid="{00000000-0010-0000-0100-000016000000}" name="17" dataDxfId="309"/>
    <tableColumn id="23" xr3:uid="{00000000-0010-0000-0100-000017000000}" name="18" dataDxfId="308"/>
    <tableColumn id="24" xr3:uid="{00000000-0010-0000-0100-000018000000}" name="19" dataDxfId="307"/>
    <tableColumn id="25" xr3:uid="{00000000-0010-0000-0100-000019000000}" name="20" dataDxfId="306"/>
    <tableColumn id="26" xr3:uid="{00000000-0010-0000-0100-00001A000000}" name="21" dataDxfId="305"/>
    <tableColumn id="27" xr3:uid="{00000000-0010-0000-0100-00001B000000}" name="22" dataDxfId="304"/>
    <tableColumn id="28" xr3:uid="{00000000-0010-0000-0100-00001C000000}" name="23" dataDxfId="303"/>
    <tableColumn id="29" xr3:uid="{00000000-0010-0000-0100-00001D000000}" name="24" dataDxfId="302"/>
    <tableColumn id="30" xr3:uid="{00000000-0010-0000-0100-00001E000000}" name="25" dataDxfId="301"/>
    <tableColumn id="32" xr3:uid="{00000000-0010-0000-0100-000020000000}" name="26" dataDxfId="300"/>
    <tableColumn id="33" xr3:uid="{00000000-0010-0000-0100-000021000000}" name="27" dataDxfId="299"/>
    <tableColumn id="34" xr3:uid="{00000000-0010-0000-0100-000022000000}" name="28" dataDxfId="298"/>
    <tableColumn id="35" xr3:uid="{00000000-0010-0000-0100-000023000000}" name="29" dataDxfId="297"/>
    <tableColumn id="36" xr3:uid="{00000000-0010-0000-0100-000024000000}" name="30" dataDxfId="296"/>
    <tableColumn id="37" xr3:uid="{00000000-0010-0000-0100-000025000000}" name="31" dataDxfId="295"/>
    <tableColumn id="38" xr3:uid="{00000000-0010-0000-0100-000026000000}" name="32" dataDxfId="294"/>
    <tableColumn id="39" xr3:uid="{00000000-0010-0000-0100-000027000000}" name="33" dataDxfId="293"/>
    <tableColumn id="40" xr3:uid="{00000000-0010-0000-0100-000028000000}" name="34" dataDxfId="292"/>
    <tableColumn id="41" xr3:uid="{00000000-0010-0000-0100-000029000000}" name="35" dataDxfId="291"/>
    <tableColumn id="42" xr3:uid="{00000000-0010-0000-0100-00002A000000}" name="36" dataDxfId="290"/>
    <tableColumn id="43" xr3:uid="{00000000-0010-0000-0100-00002B000000}" name="37" dataDxfId="289"/>
    <tableColumn id="44" xr3:uid="{00000000-0010-0000-0100-00002C000000}" name="38" dataDxfId="288"/>
    <tableColumn id="45" xr3:uid="{00000000-0010-0000-0100-00002D000000}" name="39" dataDxfId="287"/>
    <tableColumn id="46" xr3:uid="{00000000-0010-0000-0100-00002E000000}" name="40" dataDxfId="286"/>
    <tableColumn id="47" xr3:uid="{00000000-0010-0000-0100-00002F000000}" name="41" dataDxfId="285"/>
    <tableColumn id="48" xr3:uid="{00000000-0010-0000-0100-000030000000}" name="42" dataDxfId="284"/>
    <tableColumn id="49" xr3:uid="{00000000-0010-0000-0100-000031000000}" name="43" dataDxfId="283"/>
    <tableColumn id="50" xr3:uid="{00000000-0010-0000-0100-000032000000}" name="44" dataDxfId="282"/>
    <tableColumn id="51" xr3:uid="{00000000-0010-0000-0100-000033000000}" name="45" dataDxfId="281"/>
    <tableColumn id="52" xr3:uid="{00000000-0010-0000-0100-000034000000}" name="46" dataDxfId="280"/>
    <tableColumn id="53" xr3:uid="{00000000-0010-0000-0100-000035000000}" name="47" dataDxfId="279"/>
    <tableColumn id="54" xr3:uid="{00000000-0010-0000-0100-000036000000}" name="48" dataDxfId="278"/>
    <tableColumn id="55" xr3:uid="{00000000-0010-0000-0100-000037000000}" name="49" dataDxfId="277"/>
    <tableColumn id="56" xr3:uid="{00000000-0010-0000-0100-000038000000}" name="50" dataDxfId="276"/>
    <tableColumn id="57" xr3:uid="{00000000-0010-0000-0100-000039000000}" name="51" dataDxfId="275"/>
    <tableColumn id="58" xr3:uid="{00000000-0010-0000-0100-00003A000000}" name="52" dataDxfId="274"/>
    <tableColumn id="59" xr3:uid="{00000000-0010-0000-0100-00003B000000}" name="53" dataDxfId="273"/>
    <tableColumn id="60" xr3:uid="{00000000-0010-0000-0100-00003C000000}" name="54" dataDxfId="272"/>
    <tableColumn id="61" xr3:uid="{00000000-0010-0000-0100-00003D000000}" name="55" dataDxfId="271"/>
    <tableColumn id="62" xr3:uid="{00000000-0010-0000-0100-00003E000000}" name="56" dataDxfId="270"/>
    <tableColumn id="63" xr3:uid="{00000000-0010-0000-0100-00003F000000}" name="57" dataDxfId="269"/>
    <tableColumn id="64" xr3:uid="{00000000-0010-0000-0100-000040000000}" name="58" dataDxfId="268"/>
    <tableColumn id="65" xr3:uid="{00000000-0010-0000-0100-000041000000}" name="59" dataDxfId="267"/>
    <tableColumn id="66" xr3:uid="{00000000-0010-0000-0100-000042000000}" name="60" dataDxfId="266"/>
    <tableColumn id="67" xr3:uid="{00000000-0010-0000-0100-000043000000}" name="61" dataDxfId="265"/>
    <tableColumn id="68" xr3:uid="{00000000-0010-0000-0100-000044000000}" name="62" dataDxfId="264"/>
    <tableColumn id="69" xr3:uid="{00000000-0010-0000-0100-000045000000}" name="63" dataDxfId="263"/>
    <tableColumn id="70" xr3:uid="{00000000-0010-0000-0100-000046000000}" name="64" dataDxfId="262"/>
    <tableColumn id="71" xr3:uid="{00000000-0010-0000-0100-000047000000}" name="65" dataDxfId="261"/>
    <tableColumn id="72" xr3:uid="{00000000-0010-0000-0100-000048000000}" name="66" dataDxfId="260"/>
    <tableColumn id="73" xr3:uid="{00000000-0010-0000-0100-000049000000}" name="67" dataDxfId="259"/>
    <tableColumn id="74" xr3:uid="{00000000-0010-0000-0100-00004A000000}" name="68" dataDxfId="258"/>
    <tableColumn id="75" xr3:uid="{00000000-0010-0000-0100-00004B000000}" name="69" dataDxfId="257"/>
    <tableColumn id="76" xr3:uid="{00000000-0010-0000-0100-00004C000000}" name="70" dataDxfId="256"/>
    <tableColumn id="77" xr3:uid="{00000000-0010-0000-0100-00004D000000}" name="71" dataDxfId="255"/>
    <tableColumn id="78" xr3:uid="{00000000-0010-0000-0100-00004E000000}" name="72" dataDxfId="254"/>
    <tableColumn id="79" xr3:uid="{00000000-0010-0000-0100-00004F000000}" name="73" dataDxfId="253"/>
    <tableColumn id="80" xr3:uid="{00000000-0010-0000-0100-000050000000}" name="74" dataDxfId="252"/>
    <tableColumn id="81" xr3:uid="{00000000-0010-0000-0100-000051000000}" name="75" dataDxfId="251"/>
    <tableColumn id="82" xr3:uid="{00000000-0010-0000-0100-000052000000}" name="76" dataDxfId="250"/>
    <tableColumn id="83" xr3:uid="{00000000-0010-0000-0100-000053000000}" name="77" dataDxfId="249"/>
    <tableColumn id="84" xr3:uid="{00000000-0010-0000-0100-000054000000}" name="78" dataDxfId="248"/>
    <tableColumn id="85" xr3:uid="{00000000-0010-0000-0100-000055000000}" name="79" dataDxfId="247"/>
    <tableColumn id="86" xr3:uid="{00000000-0010-0000-0100-000056000000}" name="80" dataDxfId="246"/>
    <tableColumn id="87" xr3:uid="{00000000-0010-0000-0100-000057000000}" name="81" dataDxfId="245"/>
    <tableColumn id="88" xr3:uid="{00000000-0010-0000-0100-000058000000}" name="82" dataDxfId="244"/>
    <tableColumn id="89" xr3:uid="{00000000-0010-0000-0100-000059000000}" name="83" dataDxfId="243"/>
    <tableColumn id="90" xr3:uid="{00000000-0010-0000-0100-00005A000000}" name="84" dataDxfId="242"/>
    <tableColumn id="91" xr3:uid="{00000000-0010-0000-0100-00005B000000}" name="85" dataDxfId="241"/>
    <tableColumn id="92" xr3:uid="{00000000-0010-0000-0100-00005C000000}" name="86" dataDxfId="240"/>
    <tableColumn id="93" xr3:uid="{00000000-0010-0000-0100-00005D000000}" name="87" dataDxfId="239"/>
    <tableColumn id="94" xr3:uid="{00000000-0010-0000-0100-00005E000000}" name="88" dataDxfId="238"/>
    <tableColumn id="95" xr3:uid="{00000000-0010-0000-0100-00005F000000}" name="89" dataDxfId="237"/>
    <tableColumn id="96" xr3:uid="{00000000-0010-0000-0100-000060000000}" name="90" dataDxfId="236"/>
    <tableColumn id="97" xr3:uid="{00000000-0010-0000-0100-000061000000}" name="91" dataDxfId="235"/>
    <tableColumn id="98" xr3:uid="{00000000-0010-0000-0100-000062000000}" name="92" dataDxfId="234"/>
    <tableColumn id="99" xr3:uid="{00000000-0010-0000-0100-000063000000}" name="93" dataDxfId="233"/>
    <tableColumn id="100" xr3:uid="{00000000-0010-0000-0100-000064000000}" name="94" dataDxfId="232"/>
    <tableColumn id="101" xr3:uid="{00000000-0010-0000-0100-000065000000}" name="95" dataDxfId="231"/>
    <tableColumn id="102" xr3:uid="{00000000-0010-0000-0100-000066000000}" name="96" dataDxfId="230"/>
    <tableColumn id="103" xr3:uid="{00000000-0010-0000-0100-000067000000}" name="97" dataDxfId="229"/>
    <tableColumn id="104" xr3:uid="{00000000-0010-0000-0100-000068000000}" name="98" dataDxfId="228"/>
    <tableColumn id="105" xr3:uid="{00000000-0010-0000-0100-000069000000}" name="99" dataDxfId="227"/>
    <tableColumn id="106" xr3:uid="{00000000-0010-0000-0100-00006A000000}" name="100" dataDxfId="226"/>
    <tableColumn id="31" xr3:uid="{00000000-0010-0000-0100-00001F000000}" name="Result" dataDxfId="225">
      <calculatedColumnFormula>SUMPRODUCT(Table462[[#This Row],[1]:[100]],$F$2:$DA$2)</calculatedColumnFormula>
    </tableColumn>
    <tableColumn id="108" xr3:uid="{00000000-0010-0000-0100-00006C000000}" name="Grupējums" dataDxfId="224">
      <calculatedColumnFormula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624" displayName="Table4624" ref="A4:DC12" totalsRowShown="0" headerRowDxfId="223" dataDxfId="221" headerRowBorderDxfId="222" tableBorderDxfId="220" totalsRowBorderDxfId="219">
  <autoFilter ref="A4:DC12" xr:uid="{00000000-0009-0000-0100-000003000000}"/>
  <sortState ref="A5:DD12">
    <sortCondition descending="1" ref="DB4:DB12"/>
  </sortState>
  <tableColumns count="107">
    <tableColumn id="1" xr3:uid="{00000000-0010-0000-0200-000001000000}" name="Vieta" dataDxfId="218"/>
    <tableColumn id="2" xr3:uid="{00000000-0010-0000-0200-000002000000}" name="Vārds" dataDxfId="217"/>
    <tableColumn id="3" xr3:uid="{00000000-0010-0000-0200-000003000000}" name="Uzvārds" dataDxfId="216"/>
    <tableColumn id="4" xr3:uid="{00000000-0010-0000-0200-000004000000}" name="Valsts" dataDxfId="215"/>
    <tableColumn id="5" xr3:uid="{00000000-0010-0000-0200-000005000000}" name="Klubs" dataDxfId="214"/>
    <tableColumn id="6" xr3:uid="{00000000-0010-0000-0200-000006000000}" name="1" dataDxfId="213"/>
    <tableColumn id="7" xr3:uid="{00000000-0010-0000-0200-000007000000}" name="2" dataDxfId="212"/>
    <tableColumn id="8" xr3:uid="{00000000-0010-0000-0200-000008000000}" name="3" dataDxfId="211"/>
    <tableColumn id="9" xr3:uid="{00000000-0010-0000-0200-000009000000}" name="4" dataDxfId="210"/>
    <tableColumn id="10" xr3:uid="{00000000-0010-0000-0200-00000A000000}" name="5" dataDxfId="209"/>
    <tableColumn id="11" xr3:uid="{00000000-0010-0000-0200-00000B000000}" name="6" dataDxfId="208"/>
    <tableColumn id="12" xr3:uid="{00000000-0010-0000-0200-00000C000000}" name="7" dataDxfId="207"/>
    <tableColumn id="13" xr3:uid="{00000000-0010-0000-0200-00000D000000}" name="8" dataDxfId="206"/>
    <tableColumn id="14" xr3:uid="{00000000-0010-0000-0200-00000E000000}" name="9" dataDxfId="205"/>
    <tableColumn id="15" xr3:uid="{00000000-0010-0000-0200-00000F000000}" name="10" dataDxfId="204"/>
    <tableColumn id="16" xr3:uid="{00000000-0010-0000-0200-000010000000}" name="11" dataDxfId="203"/>
    <tableColumn id="17" xr3:uid="{00000000-0010-0000-0200-000011000000}" name="12" dataDxfId="202"/>
    <tableColumn id="18" xr3:uid="{00000000-0010-0000-0200-000012000000}" name="13" dataDxfId="201"/>
    <tableColumn id="19" xr3:uid="{00000000-0010-0000-0200-000013000000}" name="14" dataDxfId="200"/>
    <tableColumn id="20" xr3:uid="{00000000-0010-0000-0200-000014000000}" name="15" dataDxfId="199"/>
    <tableColumn id="21" xr3:uid="{00000000-0010-0000-0200-000015000000}" name="16" dataDxfId="198"/>
    <tableColumn id="22" xr3:uid="{00000000-0010-0000-0200-000016000000}" name="17" dataDxfId="197"/>
    <tableColumn id="23" xr3:uid="{00000000-0010-0000-0200-000017000000}" name="18" dataDxfId="196"/>
    <tableColumn id="24" xr3:uid="{00000000-0010-0000-0200-000018000000}" name="19" dataDxfId="195"/>
    <tableColumn id="25" xr3:uid="{00000000-0010-0000-0200-000019000000}" name="20" dataDxfId="194"/>
    <tableColumn id="26" xr3:uid="{00000000-0010-0000-0200-00001A000000}" name="21" dataDxfId="193"/>
    <tableColumn id="27" xr3:uid="{00000000-0010-0000-0200-00001B000000}" name="22" dataDxfId="192"/>
    <tableColumn id="28" xr3:uid="{00000000-0010-0000-0200-00001C000000}" name="23" dataDxfId="191"/>
    <tableColumn id="29" xr3:uid="{00000000-0010-0000-0200-00001D000000}" name="24" dataDxfId="190"/>
    <tableColumn id="30" xr3:uid="{00000000-0010-0000-0200-00001E000000}" name="25" dataDxfId="189"/>
    <tableColumn id="32" xr3:uid="{00000000-0010-0000-0200-000020000000}" name="26" dataDxfId="188"/>
    <tableColumn id="33" xr3:uid="{00000000-0010-0000-0200-000021000000}" name="27" dataDxfId="187"/>
    <tableColumn id="34" xr3:uid="{00000000-0010-0000-0200-000022000000}" name="28" dataDxfId="186"/>
    <tableColumn id="35" xr3:uid="{00000000-0010-0000-0200-000023000000}" name="29" dataDxfId="185"/>
    <tableColumn id="36" xr3:uid="{00000000-0010-0000-0200-000024000000}" name="30" dataDxfId="184"/>
    <tableColumn id="37" xr3:uid="{00000000-0010-0000-0200-000025000000}" name="31" dataDxfId="183"/>
    <tableColumn id="38" xr3:uid="{00000000-0010-0000-0200-000026000000}" name="32" dataDxfId="182"/>
    <tableColumn id="39" xr3:uid="{00000000-0010-0000-0200-000027000000}" name="33" dataDxfId="181"/>
    <tableColumn id="40" xr3:uid="{00000000-0010-0000-0200-000028000000}" name="34" dataDxfId="180"/>
    <tableColumn id="41" xr3:uid="{00000000-0010-0000-0200-000029000000}" name="35" dataDxfId="179"/>
    <tableColumn id="42" xr3:uid="{00000000-0010-0000-0200-00002A000000}" name="36" dataDxfId="178"/>
    <tableColumn id="43" xr3:uid="{00000000-0010-0000-0200-00002B000000}" name="37" dataDxfId="177"/>
    <tableColumn id="44" xr3:uid="{00000000-0010-0000-0200-00002C000000}" name="38" dataDxfId="176"/>
    <tableColumn id="45" xr3:uid="{00000000-0010-0000-0200-00002D000000}" name="39" dataDxfId="175"/>
    <tableColumn id="46" xr3:uid="{00000000-0010-0000-0200-00002E000000}" name="40" dataDxfId="174"/>
    <tableColumn id="47" xr3:uid="{00000000-0010-0000-0200-00002F000000}" name="41" dataDxfId="173"/>
    <tableColumn id="48" xr3:uid="{00000000-0010-0000-0200-000030000000}" name="42" dataDxfId="172"/>
    <tableColumn id="49" xr3:uid="{00000000-0010-0000-0200-000031000000}" name="43" dataDxfId="171"/>
    <tableColumn id="50" xr3:uid="{00000000-0010-0000-0200-000032000000}" name="44" dataDxfId="170"/>
    <tableColumn id="51" xr3:uid="{00000000-0010-0000-0200-000033000000}" name="45" dataDxfId="169"/>
    <tableColumn id="52" xr3:uid="{00000000-0010-0000-0200-000034000000}" name="46" dataDxfId="168"/>
    <tableColumn id="53" xr3:uid="{00000000-0010-0000-0200-000035000000}" name="47" dataDxfId="167"/>
    <tableColumn id="54" xr3:uid="{00000000-0010-0000-0200-000036000000}" name="48" dataDxfId="166"/>
    <tableColumn id="55" xr3:uid="{00000000-0010-0000-0200-000037000000}" name="49" dataDxfId="165"/>
    <tableColumn id="56" xr3:uid="{00000000-0010-0000-0200-000038000000}" name="50" dataDxfId="164"/>
    <tableColumn id="57" xr3:uid="{00000000-0010-0000-0200-000039000000}" name="51" dataDxfId="163"/>
    <tableColumn id="58" xr3:uid="{00000000-0010-0000-0200-00003A000000}" name="52" dataDxfId="162"/>
    <tableColumn id="59" xr3:uid="{00000000-0010-0000-0200-00003B000000}" name="53" dataDxfId="161"/>
    <tableColumn id="60" xr3:uid="{00000000-0010-0000-0200-00003C000000}" name="54" dataDxfId="160"/>
    <tableColumn id="61" xr3:uid="{00000000-0010-0000-0200-00003D000000}" name="55" dataDxfId="159"/>
    <tableColumn id="62" xr3:uid="{00000000-0010-0000-0200-00003E000000}" name="56" dataDxfId="158"/>
    <tableColumn id="63" xr3:uid="{00000000-0010-0000-0200-00003F000000}" name="57" dataDxfId="157"/>
    <tableColumn id="64" xr3:uid="{00000000-0010-0000-0200-000040000000}" name="58" dataDxfId="156"/>
    <tableColumn id="65" xr3:uid="{00000000-0010-0000-0200-000041000000}" name="59" dataDxfId="155"/>
    <tableColumn id="66" xr3:uid="{00000000-0010-0000-0200-000042000000}" name="60" dataDxfId="154"/>
    <tableColumn id="67" xr3:uid="{00000000-0010-0000-0200-000043000000}" name="61" dataDxfId="153"/>
    <tableColumn id="68" xr3:uid="{00000000-0010-0000-0200-000044000000}" name="62" dataDxfId="152"/>
    <tableColumn id="69" xr3:uid="{00000000-0010-0000-0200-000045000000}" name="63" dataDxfId="151"/>
    <tableColumn id="70" xr3:uid="{00000000-0010-0000-0200-000046000000}" name="64" dataDxfId="150"/>
    <tableColumn id="71" xr3:uid="{00000000-0010-0000-0200-000047000000}" name="65" dataDxfId="149"/>
    <tableColumn id="72" xr3:uid="{00000000-0010-0000-0200-000048000000}" name="66" dataDxfId="148"/>
    <tableColumn id="73" xr3:uid="{00000000-0010-0000-0200-000049000000}" name="67" dataDxfId="147"/>
    <tableColumn id="74" xr3:uid="{00000000-0010-0000-0200-00004A000000}" name="68" dataDxfId="146"/>
    <tableColumn id="75" xr3:uid="{00000000-0010-0000-0200-00004B000000}" name="69" dataDxfId="145"/>
    <tableColumn id="76" xr3:uid="{00000000-0010-0000-0200-00004C000000}" name="70" dataDxfId="144"/>
    <tableColumn id="77" xr3:uid="{00000000-0010-0000-0200-00004D000000}" name="71" dataDxfId="143"/>
    <tableColumn id="78" xr3:uid="{00000000-0010-0000-0200-00004E000000}" name="72" dataDxfId="142"/>
    <tableColumn id="79" xr3:uid="{00000000-0010-0000-0200-00004F000000}" name="73" dataDxfId="141"/>
    <tableColumn id="80" xr3:uid="{00000000-0010-0000-0200-000050000000}" name="74" dataDxfId="140"/>
    <tableColumn id="81" xr3:uid="{00000000-0010-0000-0200-000051000000}" name="75" dataDxfId="139"/>
    <tableColumn id="82" xr3:uid="{00000000-0010-0000-0200-000052000000}" name="76" dataDxfId="138"/>
    <tableColumn id="83" xr3:uid="{00000000-0010-0000-0200-000053000000}" name="77" dataDxfId="137"/>
    <tableColumn id="84" xr3:uid="{00000000-0010-0000-0200-000054000000}" name="78" dataDxfId="136"/>
    <tableColumn id="85" xr3:uid="{00000000-0010-0000-0200-000055000000}" name="79" dataDxfId="135"/>
    <tableColumn id="86" xr3:uid="{00000000-0010-0000-0200-000056000000}" name="80" dataDxfId="134"/>
    <tableColumn id="87" xr3:uid="{00000000-0010-0000-0200-000057000000}" name="81" dataDxfId="133"/>
    <tableColumn id="88" xr3:uid="{00000000-0010-0000-0200-000058000000}" name="82" dataDxfId="132"/>
    <tableColumn id="89" xr3:uid="{00000000-0010-0000-0200-000059000000}" name="83" dataDxfId="131"/>
    <tableColumn id="90" xr3:uid="{00000000-0010-0000-0200-00005A000000}" name="84" dataDxfId="130"/>
    <tableColumn id="91" xr3:uid="{00000000-0010-0000-0200-00005B000000}" name="85" dataDxfId="129"/>
    <tableColumn id="92" xr3:uid="{00000000-0010-0000-0200-00005C000000}" name="86" dataDxfId="128"/>
    <tableColumn id="93" xr3:uid="{00000000-0010-0000-0200-00005D000000}" name="87" dataDxfId="127"/>
    <tableColumn id="94" xr3:uid="{00000000-0010-0000-0200-00005E000000}" name="88" dataDxfId="126"/>
    <tableColumn id="95" xr3:uid="{00000000-0010-0000-0200-00005F000000}" name="89" dataDxfId="125"/>
    <tableColumn id="96" xr3:uid="{00000000-0010-0000-0200-000060000000}" name="90" dataDxfId="124"/>
    <tableColumn id="97" xr3:uid="{00000000-0010-0000-0200-000061000000}" name="91" dataDxfId="123"/>
    <tableColumn id="98" xr3:uid="{00000000-0010-0000-0200-000062000000}" name="92" dataDxfId="122"/>
    <tableColumn id="99" xr3:uid="{00000000-0010-0000-0200-000063000000}" name="93" dataDxfId="121"/>
    <tableColumn id="100" xr3:uid="{00000000-0010-0000-0200-000064000000}" name="94" dataDxfId="120"/>
    <tableColumn id="101" xr3:uid="{00000000-0010-0000-0200-000065000000}" name="95" dataDxfId="119"/>
    <tableColumn id="102" xr3:uid="{00000000-0010-0000-0200-000066000000}" name="96" dataDxfId="118"/>
    <tableColumn id="103" xr3:uid="{00000000-0010-0000-0200-000067000000}" name="97" dataDxfId="117"/>
    <tableColumn id="104" xr3:uid="{00000000-0010-0000-0200-000068000000}" name="98" dataDxfId="116"/>
    <tableColumn id="105" xr3:uid="{00000000-0010-0000-0200-000069000000}" name="99" dataDxfId="115"/>
    <tableColumn id="106" xr3:uid="{00000000-0010-0000-0200-00006A000000}" name="100" dataDxfId="114"/>
    <tableColumn id="31" xr3:uid="{00000000-0010-0000-0200-00001F000000}" name="Result" dataDxfId="113">
      <calculatedColumnFormula>SUMPRODUCT(Table4624[[#This Row],[1]:[100]],$F$2:$DA$2)</calculatedColumnFormula>
    </tableColumn>
    <tableColumn id="108" xr3:uid="{00000000-0010-0000-0200-00006C000000}" name="Grupējums" dataDxfId="112">
      <calculatedColumnFormula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6245" displayName="Table46245" ref="A4:DC29" totalsRowShown="0" headerRowDxfId="111" dataDxfId="109" headerRowBorderDxfId="110" tableBorderDxfId="108" totalsRowBorderDxfId="107">
  <autoFilter ref="A4:DC29" xr:uid="{00000000-0009-0000-0100-000004000000}"/>
  <sortState ref="A5:DD38">
    <sortCondition descending="1" ref="DB4:DB38"/>
  </sortState>
  <tableColumns count="107">
    <tableColumn id="1" xr3:uid="{00000000-0010-0000-0300-000001000000}" name="Vieta" dataDxfId="106"/>
    <tableColumn id="2" xr3:uid="{00000000-0010-0000-0300-000002000000}" name="Vārds" dataDxfId="105"/>
    <tableColumn id="3" xr3:uid="{00000000-0010-0000-0300-000003000000}" name="Uzvārds" dataDxfId="104"/>
    <tableColumn id="4" xr3:uid="{00000000-0010-0000-0300-000004000000}" name="Valsts" dataDxfId="103"/>
    <tableColumn id="5" xr3:uid="{00000000-0010-0000-0300-000005000000}" name="Klubs" dataDxfId="102"/>
    <tableColumn id="6" xr3:uid="{00000000-0010-0000-0300-000006000000}" name="1" dataDxfId="101"/>
    <tableColumn id="7" xr3:uid="{00000000-0010-0000-0300-000007000000}" name="2" dataDxfId="100"/>
    <tableColumn id="8" xr3:uid="{00000000-0010-0000-0300-000008000000}" name="3" dataDxfId="99"/>
    <tableColumn id="9" xr3:uid="{00000000-0010-0000-0300-000009000000}" name="4" dataDxfId="98"/>
    <tableColumn id="10" xr3:uid="{00000000-0010-0000-0300-00000A000000}" name="5" dataDxfId="97"/>
    <tableColumn id="11" xr3:uid="{00000000-0010-0000-0300-00000B000000}" name="6" dataDxfId="96"/>
    <tableColumn id="12" xr3:uid="{00000000-0010-0000-0300-00000C000000}" name="7" dataDxfId="95"/>
    <tableColumn id="13" xr3:uid="{00000000-0010-0000-0300-00000D000000}" name="8" dataDxfId="94"/>
    <tableColumn id="14" xr3:uid="{00000000-0010-0000-0300-00000E000000}" name="9" dataDxfId="93"/>
    <tableColumn id="15" xr3:uid="{00000000-0010-0000-0300-00000F000000}" name="10" dataDxfId="92"/>
    <tableColumn id="16" xr3:uid="{00000000-0010-0000-0300-000010000000}" name="11" dataDxfId="91"/>
    <tableColumn id="17" xr3:uid="{00000000-0010-0000-0300-000011000000}" name="12" dataDxfId="90"/>
    <tableColumn id="18" xr3:uid="{00000000-0010-0000-0300-000012000000}" name="13" dataDxfId="89"/>
    <tableColumn id="19" xr3:uid="{00000000-0010-0000-0300-000013000000}" name="14" dataDxfId="88"/>
    <tableColumn id="20" xr3:uid="{00000000-0010-0000-0300-000014000000}" name="15" dataDxfId="87"/>
    <tableColumn id="21" xr3:uid="{00000000-0010-0000-0300-000015000000}" name="16" dataDxfId="86"/>
    <tableColumn id="22" xr3:uid="{00000000-0010-0000-0300-000016000000}" name="17" dataDxfId="85"/>
    <tableColumn id="23" xr3:uid="{00000000-0010-0000-0300-000017000000}" name="18" dataDxfId="84"/>
    <tableColumn id="24" xr3:uid="{00000000-0010-0000-0300-000018000000}" name="19" dataDxfId="83"/>
    <tableColumn id="25" xr3:uid="{00000000-0010-0000-0300-000019000000}" name="20" dataDxfId="82"/>
    <tableColumn id="26" xr3:uid="{00000000-0010-0000-0300-00001A000000}" name="21" dataDxfId="81"/>
    <tableColumn id="27" xr3:uid="{00000000-0010-0000-0300-00001B000000}" name="22" dataDxfId="80"/>
    <tableColumn id="28" xr3:uid="{00000000-0010-0000-0300-00001C000000}" name="23" dataDxfId="79"/>
    <tableColumn id="29" xr3:uid="{00000000-0010-0000-0300-00001D000000}" name="24" dataDxfId="78"/>
    <tableColumn id="30" xr3:uid="{00000000-0010-0000-0300-00001E000000}" name="25" dataDxfId="77"/>
    <tableColumn id="32" xr3:uid="{00000000-0010-0000-0300-000020000000}" name="26" dataDxfId="76"/>
    <tableColumn id="33" xr3:uid="{00000000-0010-0000-0300-000021000000}" name="27" dataDxfId="75"/>
    <tableColumn id="34" xr3:uid="{00000000-0010-0000-0300-000022000000}" name="28" dataDxfId="74"/>
    <tableColumn id="35" xr3:uid="{00000000-0010-0000-0300-000023000000}" name="29" dataDxfId="73"/>
    <tableColumn id="36" xr3:uid="{00000000-0010-0000-0300-000024000000}" name="30" dataDxfId="72"/>
    <tableColumn id="37" xr3:uid="{00000000-0010-0000-0300-000025000000}" name="31" dataDxfId="71"/>
    <tableColumn id="38" xr3:uid="{00000000-0010-0000-0300-000026000000}" name="32" dataDxfId="70"/>
    <tableColumn id="39" xr3:uid="{00000000-0010-0000-0300-000027000000}" name="33" dataDxfId="69"/>
    <tableColumn id="40" xr3:uid="{00000000-0010-0000-0300-000028000000}" name="34" dataDxfId="68"/>
    <tableColumn id="41" xr3:uid="{00000000-0010-0000-0300-000029000000}" name="35" dataDxfId="67"/>
    <tableColumn id="42" xr3:uid="{00000000-0010-0000-0300-00002A000000}" name="36" dataDxfId="66"/>
    <tableColumn id="43" xr3:uid="{00000000-0010-0000-0300-00002B000000}" name="37" dataDxfId="65"/>
    <tableColumn id="44" xr3:uid="{00000000-0010-0000-0300-00002C000000}" name="38" dataDxfId="64"/>
    <tableColumn id="45" xr3:uid="{00000000-0010-0000-0300-00002D000000}" name="39" dataDxfId="63"/>
    <tableColumn id="46" xr3:uid="{00000000-0010-0000-0300-00002E000000}" name="40" dataDxfId="62"/>
    <tableColumn id="47" xr3:uid="{00000000-0010-0000-0300-00002F000000}" name="41" dataDxfId="61"/>
    <tableColumn id="48" xr3:uid="{00000000-0010-0000-0300-000030000000}" name="42" dataDxfId="60"/>
    <tableColumn id="49" xr3:uid="{00000000-0010-0000-0300-000031000000}" name="43" dataDxfId="59"/>
    <tableColumn id="50" xr3:uid="{00000000-0010-0000-0300-000032000000}" name="44" dataDxfId="58"/>
    <tableColumn id="51" xr3:uid="{00000000-0010-0000-0300-000033000000}" name="45" dataDxfId="57"/>
    <tableColumn id="52" xr3:uid="{00000000-0010-0000-0300-000034000000}" name="46" dataDxfId="56"/>
    <tableColumn id="53" xr3:uid="{00000000-0010-0000-0300-000035000000}" name="47" dataDxfId="55"/>
    <tableColumn id="54" xr3:uid="{00000000-0010-0000-0300-000036000000}" name="48" dataDxfId="54"/>
    <tableColumn id="55" xr3:uid="{00000000-0010-0000-0300-000037000000}" name="49" dataDxfId="53"/>
    <tableColumn id="56" xr3:uid="{00000000-0010-0000-0300-000038000000}" name="50" dataDxfId="52"/>
    <tableColumn id="57" xr3:uid="{00000000-0010-0000-0300-000039000000}" name="51" dataDxfId="51"/>
    <tableColumn id="58" xr3:uid="{00000000-0010-0000-0300-00003A000000}" name="52" dataDxfId="50"/>
    <tableColumn id="59" xr3:uid="{00000000-0010-0000-0300-00003B000000}" name="53" dataDxfId="49"/>
    <tableColumn id="60" xr3:uid="{00000000-0010-0000-0300-00003C000000}" name="54" dataDxfId="48"/>
    <tableColumn id="61" xr3:uid="{00000000-0010-0000-0300-00003D000000}" name="55" dataDxfId="47"/>
    <tableColumn id="62" xr3:uid="{00000000-0010-0000-0300-00003E000000}" name="56" dataDxfId="46"/>
    <tableColumn id="63" xr3:uid="{00000000-0010-0000-0300-00003F000000}" name="57" dataDxfId="45"/>
    <tableColumn id="64" xr3:uid="{00000000-0010-0000-0300-000040000000}" name="58" dataDxfId="44"/>
    <tableColumn id="65" xr3:uid="{00000000-0010-0000-0300-000041000000}" name="59" dataDxfId="43"/>
    <tableColumn id="66" xr3:uid="{00000000-0010-0000-0300-000042000000}" name="60" dataDxfId="42"/>
    <tableColumn id="67" xr3:uid="{00000000-0010-0000-0300-000043000000}" name="61" dataDxfId="41"/>
    <tableColumn id="68" xr3:uid="{00000000-0010-0000-0300-000044000000}" name="62" dataDxfId="40"/>
    <tableColumn id="69" xr3:uid="{00000000-0010-0000-0300-000045000000}" name="63" dataDxfId="39"/>
    <tableColumn id="70" xr3:uid="{00000000-0010-0000-0300-000046000000}" name="64" dataDxfId="38"/>
    <tableColumn id="71" xr3:uid="{00000000-0010-0000-0300-000047000000}" name="65" dataDxfId="37"/>
    <tableColumn id="72" xr3:uid="{00000000-0010-0000-0300-000048000000}" name="66" dataDxfId="36"/>
    <tableColumn id="73" xr3:uid="{00000000-0010-0000-0300-000049000000}" name="67" dataDxfId="35"/>
    <tableColumn id="74" xr3:uid="{00000000-0010-0000-0300-00004A000000}" name="68" dataDxfId="34"/>
    <tableColumn id="75" xr3:uid="{00000000-0010-0000-0300-00004B000000}" name="69" dataDxfId="33"/>
    <tableColumn id="76" xr3:uid="{00000000-0010-0000-0300-00004C000000}" name="70" dataDxfId="32"/>
    <tableColumn id="77" xr3:uid="{00000000-0010-0000-0300-00004D000000}" name="71" dataDxfId="31"/>
    <tableColumn id="78" xr3:uid="{00000000-0010-0000-0300-00004E000000}" name="72" dataDxfId="30"/>
    <tableColumn id="79" xr3:uid="{00000000-0010-0000-0300-00004F000000}" name="73" dataDxfId="29"/>
    <tableColumn id="80" xr3:uid="{00000000-0010-0000-0300-000050000000}" name="74" dataDxfId="28"/>
    <tableColumn id="81" xr3:uid="{00000000-0010-0000-0300-000051000000}" name="75" dataDxfId="27"/>
    <tableColumn id="82" xr3:uid="{00000000-0010-0000-0300-000052000000}" name="76" dataDxfId="26"/>
    <tableColumn id="83" xr3:uid="{00000000-0010-0000-0300-000053000000}" name="77" dataDxfId="25"/>
    <tableColumn id="84" xr3:uid="{00000000-0010-0000-0300-000054000000}" name="78" dataDxfId="24"/>
    <tableColumn id="85" xr3:uid="{00000000-0010-0000-0300-000055000000}" name="79" dataDxfId="23"/>
    <tableColumn id="86" xr3:uid="{00000000-0010-0000-0300-000056000000}" name="80" dataDxfId="22"/>
    <tableColumn id="87" xr3:uid="{00000000-0010-0000-0300-000057000000}" name="81" dataDxfId="21"/>
    <tableColumn id="88" xr3:uid="{00000000-0010-0000-0300-000058000000}" name="82" dataDxfId="20"/>
    <tableColumn id="89" xr3:uid="{00000000-0010-0000-0300-000059000000}" name="83" dataDxfId="19"/>
    <tableColumn id="90" xr3:uid="{00000000-0010-0000-0300-00005A000000}" name="84" dataDxfId="18"/>
    <tableColumn id="91" xr3:uid="{00000000-0010-0000-0300-00005B000000}" name="85" dataDxfId="17"/>
    <tableColumn id="92" xr3:uid="{00000000-0010-0000-0300-00005C000000}" name="86" dataDxfId="16"/>
    <tableColumn id="93" xr3:uid="{00000000-0010-0000-0300-00005D000000}" name="87" dataDxfId="15"/>
    <tableColumn id="94" xr3:uid="{00000000-0010-0000-0300-00005E000000}" name="88" dataDxfId="14"/>
    <tableColumn id="95" xr3:uid="{00000000-0010-0000-0300-00005F000000}" name="89" dataDxfId="13"/>
    <tableColumn id="96" xr3:uid="{00000000-0010-0000-0300-000060000000}" name="90" dataDxfId="12"/>
    <tableColumn id="97" xr3:uid="{00000000-0010-0000-0300-000061000000}" name="91" dataDxfId="11"/>
    <tableColumn id="98" xr3:uid="{00000000-0010-0000-0300-000062000000}" name="92" dataDxfId="10"/>
    <tableColumn id="99" xr3:uid="{00000000-0010-0000-0300-000063000000}" name="93" dataDxfId="9"/>
    <tableColumn id="100" xr3:uid="{00000000-0010-0000-0300-000064000000}" name="94" dataDxfId="8"/>
    <tableColumn id="101" xr3:uid="{00000000-0010-0000-0300-000065000000}" name="95" dataDxfId="7"/>
    <tableColumn id="102" xr3:uid="{00000000-0010-0000-0300-000066000000}" name="96" dataDxfId="6"/>
    <tableColumn id="103" xr3:uid="{00000000-0010-0000-0300-000067000000}" name="97" dataDxfId="5"/>
    <tableColumn id="104" xr3:uid="{00000000-0010-0000-0300-000068000000}" name="98" dataDxfId="4"/>
    <tableColumn id="105" xr3:uid="{00000000-0010-0000-0300-000069000000}" name="99" dataDxfId="3"/>
    <tableColumn id="106" xr3:uid="{00000000-0010-0000-0300-00006A000000}" name="100" dataDxfId="2"/>
    <tableColumn id="31" xr3:uid="{00000000-0010-0000-0300-00001F000000}" name="Result" dataDxfId="1">
      <calculatedColumnFormula>SUMPRODUCT(Table46245[[#This Row],[1]:[100]],$F$2:$DA$2)</calculatedColumnFormula>
    </tableColumn>
    <tableColumn id="108" xr3:uid="{00000000-0010-0000-0300-00006C000000}" name="Grupējums" dataDxfId="0">
      <calculatedColumnFormula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1"/>
  <sheetViews>
    <sheetView tabSelected="1" topLeftCell="A4" zoomScale="80" zoomScaleNormal="80" workbookViewId="0">
      <selection activeCell="E23" sqref="E23"/>
    </sheetView>
  </sheetViews>
  <sheetFormatPr defaultRowHeight="15" outlineLevelRow="1" outlineLevelCol="1" x14ac:dyDescent="0.25"/>
  <cols>
    <col min="1" max="1" width="8.7109375" bestFit="1" customWidth="1"/>
    <col min="2" max="2" width="11" bestFit="1" customWidth="1"/>
    <col min="3" max="3" width="13.85546875" customWidth="1"/>
    <col min="4" max="4" width="9.42578125" bestFit="1" customWidth="1"/>
    <col min="5" max="5" width="19.28515625" customWidth="1"/>
    <col min="6" max="14" width="4.140625" hidden="1" customWidth="1" outlineLevel="1"/>
    <col min="15" max="104" width="5.140625" hidden="1" customWidth="1" outlineLevel="1"/>
    <col min="105" max="105" width="7.5703125" hidden="1" customWidth="1" outlineLevel="1"/>
    <col min="106" max="106" width="9.140625" collapsed="1"/>
    <col min="107" max="107" width="9.140625" hidden="1" customWidth="1" outlineLevel="1"/>
    <col min="108" max="108" width="9.140625" collapsed="1"/>
  </cols>
  <sheetData>
    <row r="1" spans="1:108" hidden="1" outlineLevel="1" x14ac:dyDescent="0.25">
      <c r="A1" t="s">
        <v>7</v>
      </c>
      <c r="B1">
        <v>100</v>
      </c>
    </row>
    <row r="2" spans="1:108" hidden="1" outlineLevel="1" x14ac:dyDescent="0.25">
      <c r="A2" s="34" t="s">
        <v>34</v>
      </c>
      <c r="B2" s="34"/>
      <c r="C2" s="34"/>
      <c r="D2" s="34"/>
      <c r="E2" s="34"/>
      <c r="F2">
        <f>IFERROR($B$1/COUNT(Table4623[1]),0)</f>
        <v>6.666666666666667</v>
      </c>
      <c r="G2">
        <f>IFERROR($B$1/COUNT(Table4623[2]),0)</f>
        <v>7.1428571428571432</v>
      </c>
      <c r="H2">
        <f>IFERROR($B$1/COUNT(Table4623[3]),0)</f>
        <v>6.666666666666667</v>
      </c>
      <c r="I2">
        <f>IFERROR($B$1/COUNT(Table4623[4]),0)</f>
        <v>6.25</v>
      </c>
      <c r="J2">
        <f>IFERROR($B$1/COUNT(Table4623[5]),0)</f>
        <v>6.25</v>
      </c>
      <c r="K2">
        <f>IFERROR($B$1/COUNT(Table4623[6]),0)</f>
        <v>7.1428571428571432</v>
      </c>
      <c r="L2">
        <f>IFERROR($B$1/COUNT(Table4623[7]),0)</f>
        <v>6.25</v>
      </c>
      <c r="M2">
        <f>IFERROR($B$1/COUNT(Table4623[8]),0)</f>
        <v>7.6923076923076925</v>
      </c>
      <c r="N2">
        <f>IFERROR($B$1/COUNT(Table4623[9]),0)</f>
        <v>6.666666666666667</v>
      </c>
      <c r="O2">
        <f>IFERROR($B$1/COUNT(Table4623[10]),0)</f>
        <v>6.25</v>
      </c>
      <c r="P2">
        <f>IFERROR($B$1/COUNT(Table4623[11]),0)</f>
        <v>6.25</v>
      </c>
      <c r="Q2">
        <f>IFERROR($B$1/COUNT(Table4623[12]),0)</f>
        <v>6.25</v>
      </c>
      <c r="R2">
        <f>IFERROR($B$1/COUNT(Table4623[13]),0)</f>
        <v>6.25</v>
      </c>
      <c r="S2">
        <f>IFERROR($B$1/COUNT(Table4623[14]),0)</f>
        <v>6.25</v>
      </c>
      <c r="T2">
        <f>IFERROR($B$1/COUNT(Table4623[15]),0)</f>
        <v>6.25</v>
      </c>
      <c r="U2">
        <f>IFERROR($B$1/COUNT(Table4623[16]),0)</f>
        <v>6.25</v>
      </c>
      <c r="V2">
        <f>IFERROR($B$1/COUNT(Table4623[17]),0)</f>
        <v>6.666666666666667</v>
      </c>
      <c r="W2">
        <f>IFERROR($B$1/COUNT(Table4623[18]),0)</f>
        <v>6.25</v>
      </c>
      <c r="X2">
        <f>IFERROR($B$1/COUNT(Table4623[19]),0)</f>
        <v>6.25</v>
      </c>
      <c r="Y2">
        <f>IFERROR($B$1/COUNT(Table4623[20]),0)</f>
        <v>6.25</v>
      </c>
      <c r="Z2">
        <f>IFERROR($B$1/COUNT(Table4623[21]),0)</f>
        <v>7.1428571428571432</v>
      </c>
      <c r="AA2">
        <f>IFERROR($B$1/COUNT(Table4623[22]),0)</f>
        <v>9.0909090909090917</v>
      </c>
      <c r="AB2">
        <f>IFERROR($B$1/COUNT(Table4623[23]),0)</f>
        <v>7.6923076923076925</v>
      </c>
      <c r="AC2">
        <f>IFERROR($B$1/COUNT(Table4623[24]),0)</f>
        <v>8.3333333333333339</v>
      </c>
      <c r="AD2">
        <f>IFERROR($B$1/COUNT(Table4623[25]),0)</f>
        <v>10</v>
      </c>
      <c r="AE2">
        <f>IFERROR($B$1/COUNT(Table4623[26]),0)</f>
        <v>10</v>
      </c>
      <c r="AF2">
        <f>IFERROR($B$1/COUNT(Table4623[27]),0)</f>
        <v>6.25</v>
      </c>
      <c r="AG2">
        <f>IFERROR($B$1/COUNT(Table4623[28]),0)</f>
        <v>8.3333333333333339</v>
      </c>
      <c r="AH2">
        <f>IFERROR($B$1/COUNT(Table4623[29]),0)</f>
        <v>7.1428571428571432</v>
      </c>
      <c r="AI2">
        <f>IFERROR($B$1/COUNT(Table4623[30]),0)</f>
        <v>6.25</v>
      </c>
      <c r="AJ2">
        <f>IFERROR($B$1/COUNT(Table4623[31]),0)</f>
        <v>7.6923076923076925</v>
      </c>
      <c r="AK2">
        <f>IFERROR($B$1/COUNT(Table4623[32]),0)</f>
        <v>6.666666666666667</v>
      </c>
      <c r="AL2">
        <f>IFERROR($B$1/COUNT(Table4623[33]),0)</f>
        <v>8.3333333333333339</v>
      </c>
      <c r="AM2">
        <f>IFERROR($B$1/COUNT(Table4623[34]),0)</f>
        <v>7.1428571428571432</v>
      </c>
      <c r="AN2">
        <f>IFERROR($B$1/COUNT(Table4623[35]),0)</f>
        <v>6.666666666666667</v>
      </c>
      <c r="AO2">
        <f>IFERROR($B$1/COUNT(Table4623[36]),0)</f>
        <v>6.25</v>
      </c>
      <c r="AP2">
        <f>IFERROR($B$1/COUNT(Table4623[37]),0)</f>
        <v>6.25</v>
      </c>
      <c r="AQ2">
        <f>IFERROR($B$1/COUNT(Table4623[38]),0)</f>
        <v>7.1428571428571432</v>
      </c>
      <c r="AR2">
        <f>IFERROR($B$1/COUNT(Table4623[39]),0)</f>
        <v>6.25</v>
      </c>
      <c r="AS2">
        <f>IFERROR($B$1/COUNT(Table4623[40]),0)</f>
        <v>6.25</v>
      </c>
      <c r="AT2">
        <f>IFERROR($B$1/COUNT(Table4623[41]),0)</f>
        <v>7.6923076923076925</v>
      </c>
      <c r="AU2">
        <f>IFERROR($B$1/COUNT(Table4623[42]),0)</f>
        <v>6.666666666666667</v>
      </c>
      <c r="AV2">
        <f>IFERROR($B$1/COUNT(Table4623[43]),0)</f>
        <v>7.1428571428571432</v>
      </c>
      <c r="AW2">
        <f>IFERROR($B$1/COUNT(Table4623[44]),0)</f>
        <v>6.666666666666667</v>
      </c>
      <c r="AX2">
        <f>IFERROR($B$1/COUNT(Table4623[45]),0)</f>
        <v>7.1428571428571432</v>
      </c>
      <c r="AY2">
        <f>IFERROR($B$1/COUNT(Table4623[46]),0)</f>
        <v>6.666666666666667</v>
      </c>
      <c r="AZ2">
        <f>IFERROR($B$1/COUNT(Table4623[47]),0)</f>
        <v>7.1428571428571432</v>
      </c>
      <c r="BA2">
        <f>IFERROR($B$1/COUNT(Table4623[48]),0)</f>
        <v>7.1428571428571432</v>
      </c>
      <c r="BB2">
        <f>IFERROR($B$1/COUNT(Table4623[49]),0)</f>
        <v>6.25</v>
      </c>
      <c r="BC2">
        <f>IFERROR($B$1/COUNT(Table4623[50]),0)</f>
        <v>7.6923076923076925</v>
      </c>
      <c r="BD2">
        <f>IFERROR($B$1/COUNT(Table4623[51]),0)</f>
        <v>6.666666666666667</v>
      </c>
      <c r="BE2">
        <f>IFERROR($B$1/COUNT(Table4623[52]),0)</f>
        <v>6.25</v>
      </c>
      <c r="BF2">
        <f>IFERROR($B$1/COUNT(Table4623[53]),0)</f>
        <v>14.285714285714286</v>
      </c>
      <c r="BG2">
        <f>IFERROR($B$1/COUNT(Table4623[54]),0)</f>
        <v>6.25</v>
      </c>
      <c r="BH2">
        <f>IFERROR($B$1/COUNT(Table4623[55]),0)</f>
        <v>7.1428571428571432</v>
      </c>
      <c r="BI2">
        <f>IFERROR($B$1/COUNT(Table4623[56]),0)</f>
        <v>11.111111111111111</v>
      </c>
      <c r="BJ2">
        <f>IFERROR($B$1/COUNT(Table4623[57]),0)</f>
        <v>7.6923076923076925</v>
      </c>
      <c r="BK2">
        <f>IFERROR($B$1/COUNT(Table4623[58]),0)</f>
        <v>9.0909090909090917</v>
      </c>
      <c r="BL2">
        <f>IFERROR($B$1/COUNT(Table4623[59]),0)</f>
        <v>10</v>
      </c>
      <c r="BM2">
        <f>IFERROR($B$1/COUNT(Table4623[60]),0)</f>
        <v>8.3333333333333339</v>
      </c>
      <c r="BN2">
        <f>IFERROR($B$1/COUNT(Table4623[61]),0)</f>
        <v>14.285714285714286</v>
      </c>
      <c r="BO2">
        <f>IFERROR($B$1/COUNT(Table4623[62]),0)</f>
        <v>9.0909090909090917</v>
      </c>
      <c r="BP2">
        <f>IFERROR($B$1/COUNT(Table4623[63]),0)</f>
        <v>8.3333333333333339</v>
      </c>
      <c r="BQ2">
        <f>IFERROR($B$1/COUNT(Table4623[64]),0)</f>
        <v>7.1428571428571432</v>
      </c>
      <c r="BR2">
        <f>IFERROR($B$1/COUNT(Table4623[65]),0)</f>
        <v>16.666666666666668</v>
      </c>
      <c r="BS2">
        <f>IFERROR($B$1/COUNT(Table4623[66]),0)</f>
        <v>11.111111111111111</v>
      </c>
      <c r="BT2">
        <f>IFERROR($B$1/COUNT(Table4623[67]),0)</f>
        <v>8.3333333333333339</v>
      </c>
      <c r="BU2">
        <f>IFERROR($B$1/COUNT(Table4623[68]),0)</f>
        <v>10</v>
      </c>
      <c r="BV2">
        <f>IFERROR($B$1/COUNT(Table4623[69]),0)</f>
        <v>8.3333333333333339</v>
      </c>
      <c r="BW2">
        <f>IFERROR($B$1/COUNT(Table4623[70]),0)</f>
        <v>7.6923076923076925</v>
      </c>
      <c r="BX2">
        <f>IFERROR($B$1/COUNT(Table4623[71]),0)</f>
        <v>8.3333333333333339</v>
      </c>
      <c r="BY2">
        <f>IFERROR($B$1/COUNT(Table4623[72]),0)</f>
        <v>7.1428571428571432</v>
      </c>
      <c r="BZ2">
        <f>IFERROR($B$1/COUNT(Table4623[73]),0)</f>
        <v>7.6923076923076925</v>
      </c>
      <c r="CA2">
        <f>IFERROR($B$1/COUNT(Table4623[74]),0)</f>
        <v>9.0909090909090917</v>
      </c>
      <c r="CB2">
        <f>IFERROR($B$1/COUNT(Table4623[75]),0)</f>
        <v>7.1428571428571432</v>
      </c>
      <c r="CC2">
        <f>IFERROR($B$1/COUNT(Table4623[76]),0)</f>
        <v>7.6923076923076925</v>
      </c>
      <c r="CD2">
        <f>IFERROR($B$1/COUNT(Table4623[77]),0)</f>
        <v>8.3333333333333339</v>
      </c>
      <c r="CE2">
        <f>IFERROR($B$1/COUNT(Table4623[78]),0)</f>
        <v>6.666666666666667</v>
      </c>
      <c r="CF2">
        <f>IFERROR($B$1/COUNT(Table4623[79]),0)</f>
        <v>7.6923076923076925</v>
      </c>
      <c r="CG2">
        <f>IFERROR($B$1/COUNT(Table4623[80]),0)</f>
        <v>10</v>
      </c>
      <c r="CH2">
        <f>IFERROR($B$1/COUNT(Table4623[81]),0)</f>
        <v>7.6923076923076925</v>
      </c>
      <c r="CI2">
        <f>IFERROR($B$1/COUNT(Table4623[82]),0)</f>
        <v>9.0909090909090917</v>
      </c>
      <c r="CJ2">
        <f>IFERROR($B$1/COUNT(Table4623[83]),0)</f>
        <v>33.333333333333336</v>
      </c>
      <c r="CK2">
        <f>IFERROR($B$1/COUNT(Table4623[84]),0)</f>
        <v>8.3333333333333339</v>
      </c>
      <c r="CL2">
        <f>IFERROR($B$1/COUNT(Table4623[85]),0)</f>
        <v>14.285714285714286</v>
      </c>
      <c r="CM2">
        <f>IFERROR($B$1/COUNT(Table4623[86]),0)</f>
        <v>8.3333333333333339</v>
      </c>
      <c r="CN2">
        <f>IFERROR($B$1/COUNT(Table4623[87]),0)</f>
        <v>50</v>
      </c>
      <c r="CO2">
        <f>IFERROR($B$1/COUNT(Table4623[88]),0)</f>
        <v>20</v>
      </c>
      <c r="CP2">
        <f>IFERROR($B$1/COUNT(Table4623[89]),0)</f>
        <v>20</v>
      </c>
      <c r="CQ2">
        <f>IFERROR($B$1/COUNT(Table4623[90]),0)</f>
        <v>11.111111111111111</v>
      </c>
      <c r="CR2">
        <f>IFERROR($B$1/COUNT(Table4623[91]),0)</f>
        <v>25</v>
      </c>
      <c r="CS2">
        <f>IFERROR($B$1/COUNT(Table4623[92]),0)</f>
        <v>25</v>
      </c>
      <c r="CT2">
        <f>IFERROR($B$1/COUNT(Table4623[93]),0)</f>
        <v>14.285714285714286</v>
      </c>
      <c r="CU2">
        <f>IFERROR($B$1/COUNT(Table4623[94]),0)</f>
        <v>100</v>
      </c>
      <c r="CV2">
        <f>IFERROR($B$1/COUNT(Table4623[95]),0)</f>
        <v>100</v>
      </c>
      <c r="CW2">
        <f>IFERROR($B$1/COUNT(Table4623[96]),0)</f>
        <v>0</v>
      </c>
      <c r="CX2">
        <f>IFERROR($B$1/COUNT(Table4623[97]),0)</f>
        <v>100</v>
      </c>
      <c r="CY2">
        <f>IFERROR($B$1/COUNT(Table4623[98]),0)</f>
        <v>100</v>
      </c>
      <c r="CZ2">
        <f>IFERROR($B$1/COUNT(Table4623[99]),0)</f>
        <v>0</v>
      </c>
      <c r="DA2">
        <f>IFERROR($B$1/COUNT(Table4623[100]),0)</f>
        <v>33.333333333333336</v>
      </c>
    </row>
    <row r="3" spans="1:108" hidden="1" outlineLevel="1" x14ac:dyDescent="0.25">
      <c r="A3" t="s">
        <v>4</v>
      </c>
      <c r="B3">
        <v>1.3</v>
      </c>
      <c r="C3" t="s">
        <v>5</v>
      </c>
      <c r="D3">
        <v>1</v>
      </c>
    </row>
    <row r="4" spans="1:108" collapsed="1" x14ac:dyDescent="0.25">
      <c r="A4" s="1" t="s">
        <v>6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8</v>
      </c>
      <c r="G4" s="2" t="s">
        <v>9</v>
      </c>
      <c r="H4" s="2" t="s">
        <v>10</v>
      </c>
      <c r="I4" s="11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11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11" t="s">
        <v>24</v>
      </c>
      <c r="W4" s="11" t="s">
        <v>25</v>
      </c>
      <c r="X4" s="11" t="s">
        <v>26</v>
      </c>
      <c r="Y4" s="2" t="s">
        <v>27</v>
      </c>
      <c r="Z4" s="2" t="s">
        <v>28</v>
      </c>
      <c r="AA4" s="2" t="s">
        <v>29</v>
      </c>
      <c r="AB4" s="2" t="s">
        <v>30</v>
      </c>
      <c r="AC4" s="2" t="s">
        <v>31</v>
      </c>
      <c r="AD4" s="2" t="s">
        <v>32</v>
      </c>
      <c r="AE4" s="10" t="s">
        <v>35</v>
      </c>
      <c r="AF4" s="10" t="s">
        <v>36</v>
      </c>
      <c r="AG4" s="10" t="s">
        <v>37</v>
      </c>
      <c r="AH4" s="10" t="s">
        <v>38</v>
      </c>
      <c r="AI4" s="10" t="s">
        <v>39</v>
      </c>
      <c r="AJ4" s="10" t="s">
        <v>40</v>
      </c>
      <c r="AK4" s="14" t="s">
        <v>41</v>
      </c>
      <c r="AL4" s="10" t="s">
        <v>42</v>
      </c>
      <c r="AM4" s="10" t="s">
        <v>43</v>
      </c>
      <c r="AN4" s="14" t="s">
        <v>44</v>
      </c>
      <c r="AO4" s="10" t="s">
        <v>45</v>
      </c>
      <c r="AP4" s="10" t="s">
        <v>46</v>
      </c>
      <c r="AQ4" s="14" t="s">
        <v>47</v>
      </c>
      <c r="AR4" s="14" t="s">
        <v>48</v>
      </c>
      <c r="AS4" s="14" t="s">
        <v>49</v>
      </c>
      <c r="AT4" s="10" t="s">
        <v>50</v>
      </c>
      <c r="AU4" s="10" t="s">
        <v>51</v>
      </c>
      <c r="AV4" s="10" t="s">
        <v>52</v>
      </c>
      <c r="AW4" s="14" t="s">
        <v>53</v>
      </c>
      <c r="AX4" s="10" t="s">
        <v>54</v>
      </c>
      <c r="AY4" s="10" t="s">
        <v>55</v>
      </c>
      <c r="AZ4" s="10" t="s">
        <v>56</v>
      </c>
      <c r="BA4" s="10" t="s">
        <v>57</v>
      </c>
      <c r="BB4" s="10" t="s">
        <v>58</v>
      </c>
      <c r="BC4" s="10" t="s">
        <v>59</v>
      </c>
      <c r="BD4" s="14" t="s">
        <v>60</v>
      </c>
      <c r="BE4" s="10" t="s">
        <v>61</v>
      </c>
      <c r="BF4" s="14" t="s">
        <v>62</v>
      </c>
      <c r="BG4" s="10" t="s">
        <v>63</v>
      </c>
      <c r="BH4" s="10" t="s">
        <v>64</v>
      </c>
      <c r="BI4" s="14" t="s">
        <v>65</v>
      </c>
      <c r="BJ4" s="14" t="s">
        <v>66</v>
      </c>
      <c r="BK4" s="10" t="s">
        <v>67</v>
      </c>
      <c r="BL4" s="10" t="s">
        <v>68</v>
      </c>
      <c r="BM4" s="14" t="s">
        <v>69</v>
      </c>
      <c r="BN4" s="10" t="s">
        <v>70</v>
      </c>
      <c r="BO4" s="14" t="s">
        <v>71</v>
      </c>
      <c r="BP4" s="10" t="s">
        <v>72</v>
      </c>
      <c r="BQ4" s="14" t="s">
        <v>73</v>
      </c>
      <c r="BR4" s="10" t="s">
        <v>74</v>
      </c>
      <c r="BS4" s="14" t="s">
        <v>75</v>
      </c>
      <c r="BT4" s="10" t="s">
        <v>76</v>
      </c>
      <c r="BU4" s="10" t="s">
        <v>77</v>
      </c>
      <c r="BV4" s="14" t="s">
        <v>78</v>
      </c>
      <c r="BW4" s="10" t="s">
        <v>79</v>
      </c>
      <c r="BX4" s="14" t="s">
        <v>80</v>
      </c>
      <c r="BY4" s="14" t="s">
        <v>81</v>
      </c>
      <c r="BZ4" s="10" t="s">
        <v>82</v>
      </c>
      <c r="CA4" s="14" t="s">
        <v>83</v>
      </c>
      <c r="CB4" s="14" t="s">
        <v>84</v>
      </c>
      <c r="CC4" s="14" t="s">
        <v>85</v>
      </c>
      <c r="CD4" s="10" t="s">
        <v>86</v>
      </c>
      <c r="CE4" s="10" t="s">
        <v>87</v>
      </c>
      <c r="CF4" s="10" t="s">
        <v>88</v>
      </c>
      <c r="CG4" s="10" t="s">
        <v>89</v>
      </c>
      <c r="CH4" s="10" t="s">
        <v>90</v>
      </c>
      <c r="CI4" s="14" t="s">
        <v>91</v>
      </c>
      <c r="CJ4" s="10" t="s">
        <v>92</v>
      </c>
      <c r="CK4" s="10" t="s">
        <v>93</v>
      </c>
      <c r="CL4" s="10" t="s">
        <v>94</v>
      </c>
      <c r="CM4" s="10" t="s">
        <v>95</v>
      </c>
      <c r="CN4" s="14" t="s">
        <v>96</v>
      </c>
      <c r="CO4" s="10" t="s">
        <v>97</v>
      </c>
      <c r="CP4" s="10" t="s">
        <v>98</v>
      </c>
      <c r="CQ4" s="14" t="s">
        <v>99</v>
      </c>
      <c r="CR4" s="10" t="s">
        <v>100</v>
      </c>
      <c r="CS4" s="10" t="s">
        <v>101</v>
      </c>
      <c r="CT4" s="14" t="s">
        <v>102</v>
      </c>
      <c r="CU4" s="10" t="s">
        <v>103</v>
      </c>
      <c r="CV4" s="10" t="s">
        <v>104</v>
      </c>
      <c r="CW4" s="14" t="s">
        <v>105</v>
      </c>
      <c r="CX4" s="10" t="s">
        <v>106</v>
      </c>
      <c r="CY4" s="10" t="s">
        <v>107</v>
      </c>
      <c r="CZ4" s="10" t="s">
        <v>108</v>
      </c>
      <c r="DA4" s="14" t="s">
        <v>109</v>
      </c>
      <c r="DB4" s="7" t="s">
        <v>33</v>
      </c>
      <c r="DC4" s="7" t="s">
        <v>110</v>
      </c>
    </row>
    <row r="5" spans="1:108" x14ac:dyDescent="0.25">
      <c r="A5" s="20">
        <v>1</v>
      </c>
      <c r="B5" s="15" t="s">
        <v>252</v>
      </c>
      <c r="C5" s="15" t="s">
        <v>254</v>
      </c>
      <c r="D5" s="15" t="s">
        <v>317</v>
      </c>
      <c r="E5" s="15" t="s">
        <v>253</v>
      </c>
      <c r="F5" s="12">
        <v>1.3</v>
      </c>
      <c r="G5" s="12">
        <v>1.3</v>
      </c>
      <c r="H5" s="12">
        <v>1.3</v>
      </c>
      <c r="I5" s="12">
        <v>1.3</v>
      </c>
      <c r="J5" s="12">
        <v>1.3</v>
      </c>
      <c r="K5" s="12">
        <v>1.3</v>
      </c>
      <c r="L5" s="12">
        <v>1.3</v>
      </c>
      <c r="M5" s="12">
        <v>1.3</v>
      </c>
      <c r="N5" s="12">
        <v>1.3</v>
      </c>
      <c r="O5" s="12">
        <v>1.3</v>
      </c>
      <c r="P5" s="12">
        <v>1.3</v>
      </c>
      <c r="Q5" s="12">
        <v>1.3</v>
      </c>
      <c r="R5" s="12">
        <v>1.3</v>
      </c>
      <c r="S5" s="12">
        <v>1.3</v>
      </c>
      <c r="T5" s="12">
        <v>1.3</v>
      </c>
      <c r="U5" s="12">
        <v>1.3</v>
      </c>
      <c r="V5" s="12">
        <v>1.3</v>
      </c>
      <c r="W5" s="12">
        <v>1.3</v>
      </c>
      <c r="X5" s="12">
        <v>1.3</v>
      </c>
      <c r="Y5" s="12">
        <v>1.3</v>
      </c>
      <c r="Z5" s="12">
        <v>1.3</v>
      </c>
      <c r="AA5" s="12">
        <v>1.3</v>
      </c>
      <c r="AB5" s="12">
        <v>1.3</v>
      </c>
      <c r="AC5" s="12">
        <v>1.3</v>
      </c>
      <c r="AD5" s="12">
        <v>1</v>
      </c>
      <c r="AE5" s="15">
        <v>1.3</v>
      </c>
      <c r="AF5" s="15">
        <v>1.3</v>
      </c>
      <c r="AG5" s="15">
        <v>1</v>
      </c>
      <c r="AH5" s="15">
        <v>1.3</v>
      </c>
      <c r="AI5" s="15">
        <v>1.3</v>
      </c>
      <c r="AJ5" s="15">
        <v>1.3</v>
      </c>
      <c r="AK5" s="15">
        <v>1.3</v>
      </c>
      <c r="AL5" s="15">
        <v>1</v>
      </c>
      <c r="AM5" s="15">
        <v>1.3</v>
      </c>
      <c r="AN5" s="15">
        <v>1.3</v>
      </c>
      <c r="AO5" s="15">
        <v>1.3</v>
      </c>
      <c r="AP5" s="15">
        <v>1.3</v>
      </c>
      <c r="AQ5" s="15">
        <v>1.3</v>
      </c>
      <c r="AR5" s="15">
        <v>1.3</v>
      </c>
      <c r="AS5" s="15">
        <v>1.3</v>
      </c>
      <c r="AT5" s="15">
        <v>1.3</v>
      </c>
      <c r="AU5" s="15">
        <v>1.3</v>
      </c>
      <c r="AV5" s="15">
        <v>1.3</v>
      </c>
      <c r="AW5" s="15">
        <v>1.3</v>
      </c>
      <c r="AX5" s="15">
        <v>1.3</v>
      </c>
      <c r="AY5" s="15">
        <v>1.3</v>
      </c>
      <c r="AZ5" s="15">
        <v>1.3</v>
      </c>
      <c r="BA5" s="15">
        <v>1.3</v>
      </c>
      <c r="BB5" s="15">
        <v>1.3</v>
      </c>
      <c r="BC5" s="15">
        <v>1.3</v>
      </c>
      <c r="BD5" s="15">
        <v>1.3</v>
      </c>
      <c r="BE5" s="15">
        <v>1.3</v>
      </c>
      <c r="BF5" s="15">
        <v>1.3</v>
      </c>
      <c r="BG5" s="15">
        <v>1.3</v>
      </c>
      <c r="BH5" s="15">
        <v>1.3</v>
      </c>
      <c r="BI5" s="15">
        <v>1.3</v>
      </c>
      <c r="BJ5" s="15">
        <v>1.3</v>
      </c>
      <c r="BK5" s="15">
        <v>1</v>
      </c>
      <c r="BL5" s="15">
        <v>1.3</v>
      </c>
      <c r="BM5" s="15">
        <v>1.3</v>
      </c>
      <c r="BN5" s="15">
        <v>1</v>
      </c>
      <c r="BO5" s="15">
        <v>1.3</v>
      </c>
      <c r="BP5" s="15">
        <v>1.3</v>
      </c>
      <c r="BQ5" s="15">
        <v>1.3</v>
      </c>
      <c r="BR5" s="15">
        <v>1</v>
      </c>
      <c r="BS5" s="15">
        <v>1.3</v>
      </c>
      <c r="BT5" s="15">
        <v>1.3</v>
      </c>
      <c r="BU5" s="15">
        <v>1.3</v>
      </c>
      <c r="BV5" s="15">
        <v>1.3</v>
      </c>
      <c r="BW5" s="15">
        <v>1</v>
      </c>
      <c r="BX5" s="15">
        <v>1.3</v>
      </c>
      <c r="BY5" s="15">
        <v>1.3</v>
      </c>
      <c r="BZ5" s="15">
        <v>1.3</v>
      </c>
      <c r="CA5" s="15">
        <v>1.3</v>
      </c>
      <c r="CB5" s="15">
        <v>1.3</v>
      </c>
      <c r="CC5" s="15">
        <v>1.3</v>
      </c>
      <c r="CD5" s="15">
        <v>1.3</v>
      </c>
      <c r="CE5" s="15">
        <v>1.3</v>
      </c>
      <c r="CF5" s="15">
        <v>1.3</v>
      </c>
      <c r="CG5" s="15">
        <v>1.3</v>
      </c>
      <c r="CH5" s="15">
        <v>1.3</v>
      </c>
      <c r="CI5" s="15">
        <v>1.3</v>
      </c>
      <c r="CJ5" s="15">
        <v>1</v>
      </c>
      <c r="CK5" s="15">
        <v>1.3</v>
      </c>
      <c r="CL5" s="15">
        <v>1.3</v>
      </c>
      <c r="CM5" s="15">
        <v>1.3</v>
      </c>
      <c r="CN5" s="15">
        <v>1</v>
      </c>
      <c r="CO5" s="15">
        <v>1</v>
      </c>
      <c r="CP5" s="15">
        <v>1.3</v>
      </c>
      <c r="CQ5" s="15">
        <v>1.3</v>
      </c>
      <c r="CR5" s="15">
        <v>1</v>
      </c>
      <c r="CS5" s="15">
        <v>1.3</v>
      </c>
      <c r="CT5" s="15">
        <v>1</v>
      </c>
      <c r="CU5" s="15">
        <v>1</v>
      </c>
      <c r="CV5" s="15">
        <v>1</v>
      </c>
      <c r="CW5" s="15"/>
      <c r="CX5" s="15"/>
      <c r="CY5" s="15">
        <v>1</v>
      </c>
      <c r="CZ5" s="15"/>
      <c r="DA5" s="15">
        <v>1</v>
      </c>
      <c r="DB5" s="21">
        <f>SUMPRODUCT(Table4623[[#This Row],[1]:[100]],$F$2:$DA$2)</f>
        <v>1390.1868964368971</v>
      </c>
      <c r="DC5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38.1</v>
      </c>
    </row>
    <row r="6" spans="1:108" x14ac:dyDescent="0.25">
      <c r="A6" s="18">
        <v>2</v>
      </c>
      <c r="B6" s="13" t="s">
        <v>315</v>
      </c>
      <c r="C6" s="13" t="s">
        <v>316</v>
      </c>
      <c r="D6" s="13" t="s">
        <v>317</v>
      </c>
      <c r="E6" s="13" t="s">
        <v>253</v>
      </c>
      <c r="F6" s="13">
        <v>1.3</v>
      </c>
      <c r="G6" s="13">
        <v>1.3</v>
      </c>
      <c r="H6" s="13">
        <v>1.3</v>
      </c>
      <c r="I6" s="13">
        <v>1.3</v>
      </c>
      <c r="J6" s="13">
        <v>1.3</v>
      </c>
      <c r="K6" s="13">
        <v>1.3</v>
      </c>
      <c r="L6" s="13">
        <v>1.3</v>
      </c>
      <c r="M6" s="13">
        <v>1.3</v>
      </c>
      <c r="N6" s="13">
        <v>1.3</v>
      </c>
      <c r="O6" s="13">
        <v>1.3</v>
      </c>
      <c r="P6" s="13">
        <v>1.3</v>
      </c>
      <c r="Q6" s="13">
        <v>1.3</v>
      </c>
      <c r="R6" s="13">
        <v>1.3</v>
      </c>
      <c r="S6" s="13">
        <v>1.3</v>
      </c>
      <c r="T6" s="13">
        <v>1.3</v>
      </c>
      <c r="U6" s="13">
        <v>1.3</v>
      </c>
      <c r="V6" s="13">
        <v>1.3</v>
      </c>
      <c r="W6" s="13">
        <v>1.3</v>
      </c>
      <c r="X6" s="13">
        <v>1.3</v>
      </c>
      <c r="Y6" s="13">
        <v>1.3</v>
      </c>
      <c r="Z6" s="13">
        <v>1.3</v>
      </c>
      <c r="AA6" s="13">
        <v>1</v>
      </c>
      <c r="AB6" s="13">
        <v>1.3</v>
      </c>
      <c r="AC6" s="13">
        <v>1.3</v>
      </c>
      <c r="AD6" s="13">
        <v>1.3</v>
      </c>
      <c r="AE6" s="13">
        <v>1</v>
      </c>
      <c r="AF6" s="13">
        <v>1.3</v>
      </c>
      <c r="AG6" s="13">
        <v>1.3</v>
      </c>
      <c r="AH6" s="13">
        <v>1.3</v>
      </c>
      <c r="AI6" s="13">
        <v>1.3</v>
      </c>
      <c r="AJ6" s="13">
        <v>1.3</v>
      </c>
      <c r="AK6" s="13">
        <v>1</v>
      </c>
      <c r="AL6" s="13">
        <v>1.3</v>
      </c>
      <c r="AM6" s="13">
        <v>1.3</v>
      </c>
      <c r="AN6" s="13">
        <v>1.3</v>
      </c>
      <c r="AO6" s="13">
        <v>1.3</v>
      </c>
      <c r="AP6" s="13">
        <v>1.3</v>
      </c>
      <c r="AQ6" s="13">
        <v>1</v>
      </c>
      <c r="AR6" s="13">
        <v>1.3</v>
      </c>
      <c r="AS6" s="13">
        <v>1.3</v>
      </c>
      <c r="AT6" s="13">
        <v>1.3</v>
      </c>
      <c r="AU6" s="13">
        <v>1.3</v>
      </c>
      <c r="AV6" s="13">
        <v>1.3</v>
      </c>
      <c r="AW6" s="13">
        <v>1.3</v>
      </c>
      <c r="AX6" s="13">
        <v>1.3</v>
      </c>
      <c r="AY6" s="13">
        <v>1.3</v>
      </c>
      <c r="AZ6" s="13">
        <v>1.3</v>
      </c>
      <c r="BA6" s="13">
        <v>1.3</v>
      </c>
      <c r="BB6" s="13">
        <v>1.3</v>
      </c>
      <c r="BC6" s="13">
        <v>1.3</v>
      </c>
      <c r="BD6" s="13">
        <v>1.3</v>
      </c>
      <c r="BE6" s="13">
        <v>1.3</v>
      </c>
      <c r="BF6" s="13">
        <v>1.3</v>
      </c>
      <c r="BG6" s="13">
        <v>1.3</v>
      </c>
      <c r="BH6" s="13">
        <v>1.3</v>
      </c>
      <c r="BI6" s="13">
        <v>1</v>
      </c>
      <c r="BJ6" s="13">
        <v>1.3</v>
      </c>
      <c r="BK6" s="13">
        <v>1.3</v>
      </c>
      <c r="BL6" s="13">
        <v>1.3</v>
      </c>
      <c r="BM6" s="13">
        <v>1</v>
      </c>
      <c r="BN6" s="13">
        <v>1</v>
      </c>
      <c r="BO6" s="13">
        <v>1.3</v>
      </c>
      <c r="BP6" s="13">
        <v>1.3</v>
      </c>
      <c r="BQ6" s="13">
        <v>1.3</v>
      </c>
      <c r="BR6" s="13">
        <v>1</v>
      </c>
      <c r="BS6" s="13">
        <v>1</v>
      </c>
      <c r="BT6" s="13">
        <v>1.3</v>
      </c>
      <c r="BU6" s="13">
        <v>1.3</v>
      </c>
      <c r="BV6" s="13">
        <v>1</v>
      </c>
      <c r="BW6" s="13">
        <v>1.3</v>
      </c>
      <c r="BX6" s="13">
        <v>1.3</v>
      </c>
      <c r="BY6" s="13">
        <v>1.3</v>
      </c>
      <c r="BZ6" s="13">
        <v>1.3</v>
      </c>
      <c r="CA6" s="13">
        <v>1.3</v>
      </c>
      <c r="CB6" s="13">
        <v>1.3</v>
      </c>
      <c r="CC6" s="13">
        <v>1.3</v>
      </c>
      <c r="CD6" s="13">
        <v>1.3</v>
      </c>
      <c r="CE6" s="13">
        <v>1.3</v>
      </c>
      <c r="CF6" s="13">
        <v>1.3</v>
      </c>
      <c r="CG6" s="13">
        <v>1.3</v>
      </c>
      <c r="CH6" s="13">
        <v>1.3</v>
      </c>
      <c r="CI6" s="13">
        <v>1</v>
      </c>
      <c r="CJ6" s="13"/>
      <c r="CK6" s="13">
        <v>1</v>
      </c>
      <c r="CL6" s="13">
        <v>1</v>
      </c>
      <c r="CM6" s="13">
        <v>1.3</v>
      </c>
      <c r="CN6" s="13"/>
      <c r="CO6" s="13">
        <v>1</v>
      </c>
      <c r="CP6" s="13">
        <v>1</v>
      </c>
      <c r="CQ6" s="13">
        <v>1.3</v>
      </c>
      <c r="CR6" s="13">
        <v>1</v>
      </c>
      <c r="CS6" s="13">
        <v>1</v>
      </c>
      <c r="CT6" s="13">
        <v>1</v>
      </c>
      <c r="CU6" s="13"/>
      <c r="CV6" s="13"/>
      <c r="CW6" s="13"/>
      <c r="CX6" s="13">
        <v>1</v>
      </c>
      <c r="CY6" s="13"/>
      <c r="CZ6" s="13"/>
      <c r="DA6" s="13">
        <v>1</v>
      </c>
      <c r="DB6" s="19">
        <f>SUMPRODUCT(Table4623[[#This Row],[1]:[100]],$F$2:$DA$2)</f>
        <v>1075.3387445887454</v>
      </c>
      <c r="DC6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35.000000000000007</v>
      </c>
    </row>
    <row r="7" spans="1:108" outlineLevel="1" x14ac:dyDescent="0.25">
      <c r="A7" s="20">
        <v>3</v>
      </c>
      <c r="B7" s="13" t="s">
        <v>307</v>
      </c>
      <c r="C7" s="13" t="s">
        <v>308</v>
      </c>
      <c r="D7" s="13" t="s">
        <v>317</v>
      </c>
      <c r="E7" s="13" t="s">
        <v>253</v>
      </c>
      <c r="F7" s="13">
        <v>1.3</v>
      </c>
      <c r="G7" s="13">
        <v>1.3</v>
      </c>
      <c r="H7" s="13">
        <v>1.3</v>
      </c>
      <c r="I7" s="13">
        <v>1.3</v>
      </c>
      <c r="J7" s="13">
        <v>1.3</v>
      </c>
      <c r="K7" s="13">
        <v>1.3</v>
      </c>
      <c r="L7" s="13">
        <v>1.3</v>
      </c>
      <c r="M7" s="13">
        <v>1.3</v>
      </c>
      <c r="N7" s="13">
        <v>1.3</v>
      </c>
      <c r="O7" s="13">
        <v>1.3</v>
      </c>
      <c r="P7" s="13">
        <v>1.3</v>
      </c>
      <c r="Q7" s="13">
        <v>1.3</v>
      </c>
      <c r="R7" s="13">
        <v>1.3</v>
      </c>
      <c r="S7" s="13">
        <v>1.3</v>
      </c>
      <c r="T7" s="13">
        <v>1.3</v>
      </c>
      <c r="U7" s="13">
        <v>1.3</v>
      </c>
      <c r="V7" s="13">
        <v>1.3</v>
      </c>
      <c r="W7" s="13">
        <v>1.3</v>
      </c>
      <c r="X7" s="13">
        <v>1.3</v>
      </c>
      <c r="Y7" s="13">
        <v>1.3</v>
      </c>
      <c r="Z7" s="13">
        <v>1.3</v>
      </c>
      <c r="AA7" s="13">
        <v>1</v>
      </c>
      <c r="AB7" s="13">
        <v>1.3</v>
      </c>
      <c r="AC7" s="13">
        <v>1.3</v>
      </c>
      <c r="AD7" s="13">
        <v>1.3</v>
      </c>
      <c r="AE7" s="13">
        <v>1</v>
      </c>
      <c r="AF7" s="13">
        <v>1.3</v>
      </c>
      <c r="AG7" s="13">
        <v>1</v>
      </c>
      <c r="AH7" s="13">
        <v>1.3</v>
      </c>
      <c r="AI7" s="13">
        <v>1.3</v>
      </c>
      <c r="AJ7" s="13">
        <v>1.3</v>
      </c>
      <c r="AK7" s="13">
        <v>1.3</v>
      </c>
      <c r="AL7" s="13">
        <v>1</v>
      </c>
      <c r="AM7" s="13">
        <v>1.3</v>
      </c>
      <c r="AN7" s="13">
        <v>1.3</v>
      </c>
      <c r="AO7" s="13">
        <v>1.3</v>
      </c>
      <c r="AP7" s="13">
        <v>1.3</v>
      </c>
      <c r="AQ7" s="13">
        <v>1.3</v>
      </c>
      <c r="AR7" s="13">
        <v>1.3</v>
      </c>
      <c r="AS7" s="13">
        <v>1.3</v>
      </c>
      <c r="AT7" s="13">
        <v>1.3</v>
      </c>
      <c r="AU7" s="13">
        <v>1.3</v>
      </c>
      <c r="AV7" s="13">
        <v>1.3</v>
      </c>
      <c r="AW7" s="13">
        <v>1.3</v>
      </c>
      <c r="AX7" s="13">
        <v>1.3</v>
      </c>
      <c r="AY7" s="13">
        <v>1.3</v>
      </c>
      <c r="AZ7" s="13">
        <v>1.3</v>
      </c>
      <c r="BA7" s="13">
        <v>1.3</v>
      </c>
      <c r="BB7" s="13">
        <v>1.3</v>
      </c>
      <c r="BC7" s="13">
        <v>1</v>
      </c>
      <c r="BD7" s="13">
        <v>1.3</v>
      </c>
      <c r="BE7" s="13">
        <v>1.3</v>
      </c>
      <c r="BF7" s="13"/>
      <c r="BG7" s="13">
        <v>1.3</v>
      </c>
      <c r="BH7" s="13">
        <v>1</v>
      </c>
      <c r="BI7" s="13">
        <v>1.3</v>
      </c>
      <c r="BJ7" s="13">
        <v>1.3</v>
      </c>
      <c r="BK7" s="13">
        <v>1.3</v>
      </c>
      <c r="BL7" s="13">
        <v>1.3</v>
      </c>
      <c r="BM7" s="13">
        <v>1.3</v>
      </c>
      <c r="BN7" s="13">
        <v>1.3</v>
      </c>
      <c r="BO7" s="13">
        <v>1.3</v>
      </c>
      <c r="BP7" s="13">
        <v>1.3</v>
      </c>
      <c r="BQ7" s="13">
        <v>1.3</v>
      </c>
      <c r="BR7" s="13">
        <v>1</v>
      </c>
      <c r="BS7" s="13">
        <v>1.3</v>
      </c>
      <c r="BT7" s="13">
        <v>1.3</v>
      </c>
      <c r="BU7" s="13">
        <v>1.3</v>
      </c>
      <c r="BV7" s="13">
        <v>1.3</v>
      </c>
      <c r="BW7" s="13">
        <v>1.3</v>
      </c>
      <c r="BX7" s="13">
        <v>1.3</v>
      </c>
      <c r="BY7" s="13">
        <v>1.3</v>
      </c>
      <c r="BZ7" s="13">
        <v>1.3</v>
      </c>
      <c r="CA7" s="13">
        <v>1.3</v>
      </c>
      <c r="CB7" s="13">
        <v>1.3</v>
      </c>
      <c r="CC7" s="13">
        <v>1.3</v>
      </c>
      <c r="CD7" s="13">
        <v>1.3</v>
      </c>
      <c r="CE7" s="13">
        <v>1</v>
      </c>
      <c r="CF7" s="13">
        <v>1.3</v>
      </c>
      <c r="CG7" s="13">
        <v>1.3</v>
      </c>
      <c r="CH7" s="13">
        <v>1.3</v>
      </c>
      <c r="CI7" s="13">
        <v>1</v>
      </c>
      <c r="CJ7" s="13">
        <v>1.3</v>
      </c>
      <c r="CK7" s="13">
        <v>1</v>
      </c>
      <c r="CL7" s="13">
        <v>1.3</v>
      </c>
      <c r="CM7" s="13">
        <v>1.3</v>
      </c>
      <c r="CN7" s="13">
        <v>1.3</v>
      </c>
      <c r="CO7" s="13"/>
      <c r="CP7" s="13"/>
      <c r="CQ7" s="13">
        <v>1</v>
      </c>
      <c r="CR7" s="13">
        <v>1</v>
      </c>
      <c r="CS7" s="13"/>
      <c r="CT7" s="13">
        <v>1.3</v>
      </c>
      <c r="CU7" s="13"/>
      <c r="CV7" s="13"/>
      <c r="CW7" s="13"/>
      <c r="CX7" s="13"/>
      <c r="CY7" s="13"/>
      <c r="CZ7" s="13"/>
      <c r="DA7" s="13"/>
      <c r="DB7" s="19">
        <f>SUMPRODUCT(Table4623[[#This Row],[1]:[100]],$F$2:$DA$2)</f>
        <v>980.65009990010037</v>
      </c>
      <c r="DC7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35.800000000000004</v>
      </c>
    </row>
    <row r="8" spans="1:108" outlineLevel="1" x14ac:dyDescent="0.25">
      <c r="A8" s="4">
        <v>4</v>
      </c>
      <c r="B8" s="22" t="s">
        <v>136</v>
      </c>
      <c r="C8" s="22" t="s">
        <v>137</v>
      </c>
      <c r="D8" s="22" t="s">
        <v>346</v>
      </c>
      <c r="E8" s="22" t="s">
        <v>350</v>
      </c>
      <c r="F8" s="22">
        <v>1.3</v>
      </c>
      <c r="G8" s="22">
        <v>1.3</v>
      </c>
      <c r="H8" s="22">
        <v>1.3</v>
      </c>
      <c r="I8" s="22">
        <v>1.3</v>
      </c>
      <c r="J8" s="22">
        <v>1.3</v>
      </c>
      <c r="K8" s="22">
        <v>1.3</v>
      </c>
      <c r="L8" s="22">
        <v>1.3</v>
      </c>
      <c r="M8" s="22">
        <v>1.3</v>
      </c>
      <c r="N8" s="22">
        <v>1.3</v>
      </c>
      <c r="O8" s="22">
        <v>1.3</v>
      </c>
      <c r="P8" s="22">
        <v>1.3</v>
      </c>
      <c r="Q8" s="22">
        <v>1.3</v>
      </c>
      <c r="R8" s="22">
        <v>1.3</v>
      </c>
      <c r="S8" s="22">
        <v>1.3</v>
      </c>
      <c r="T8" s="22">
        <v>1.3</v>
      </c>
      <c r="U8" s="22">
        <v>1.3</v>
      </c>
      <c r="V8" s="22">
        <v>1.3</v>
      </c>
      <c r="W8" s="22">
        <v>1.3</v>
      </c>
      <c r="X8" s="22">
        <v>1.3</v>
      </c>
      <c r="Y8" s="22">
        <v>1.3</v>
      </c>
      <c r="Z8" s="22">
        <v>1.3</v>
      </c>
      <c r="AA8" s="22">
        <v>1.3</v>
      </c>
      <c r="AB8" s="22">
        <v>1.3</v>
      </c>
      <c r="AC8" s="22">
        <v>1.3</v>
      </c>
      <c r="AD8" s="22">
        <v>1</v>
      </c>
      <c r="AE8" s="22">
        <v>1.3</v>
      </c>
      <c r="AF8" s="22">
        <v>1.3</v>
      </c>
      <c r="AG8" s="22">
        <v>1.3</v>
      </c>
      <c r="AH8" s="22">
        <v>1.3</v>
      </c>
      <c r="AI8" s="22">
        <v>1.3</v>
      </c>
      <c r="AJ8" s="22">
        <v>1.3</v>
      </c>
      <c r="AK8" s="22">
        <v>1.3</v>
      </c>
      <c r="AL8" s="22">
        <v>1</v>
      </c>
      <c r="AM8" s="22">
        <v>1.3</v>
      </c>
      <c r="AN8" s="22">
        <v>1.3</v>
      </c>
      <c r="AO8" s="22">
        <v>1.3</v>
      </c>
      <c r="AP8" s="22">
        <v>1.3</v>
      </c>
      <c r="AQ8" s="22">
        <v>1.3</v>
      </c>
      <c r="AR8" s="22">
        <v>1.3</v>
      </c>
      <c r="AS8" s="22">
        <v>1.3</v>
      </c>
      <c r="AT8" s="22">
        <v>1.3</v>
      </c>
      <c r="AU8" s="22">
        <v>1.3</v>
      </c>
      <c r="AV8" s="22">
        <v>1.3</v>
      </c>
      <c r="AW8" s="22">
        <v>1.3</v>
      </c>
      <c r="AX8" s="22">
        <v>1.3</v>
      </c>
      <c r="AY8" s="22">
        <v>1.3</v>
      </c>
      <c r="AZ8" s="22">
        <v>1.3</v>
      </c>
      <c r="BA8" s="22">
        <v>1.3</v>
      </c>
      <c r="BB8" s="22">
        <v>1.3</v>
      </c>
      <c r="BC8" s="22">
        <v>1.3</v>
      </c>
      <c r="BD8" s="22">
        <v>1.3</v>
      </c>
      <c r="BE8" s="22">
        <v>1.3</v>
      </c>
      <c r="BF8" s="22">
        <v>1.3</v>
      </c>
      <c r="BG8" s="22">
        <v>1.3</v>
      </c>
      <c r="BH8" s="22">
        <v>1.3</v>
      </c>
      <c r="BI8" s="22">
        <v>1</v>
      </c>
      <c r="BJ8" s="22">
        <v>1.3</v>
      </c>
      <c r="BK8" s="22">
        <v>1.3</v>
      </c>
      <c r="BL8" s="22">
        <v>1.3</v>
      </c>
      <c r="BM8" s="22">
        <v>1.3</v>
      </c>
      <c r="BN8" s="22">
        <v>1</v>
      </c>
      <c r="BO8" s="22">
        <v>1</v>
      </c>
      <c r="BP8" s="22">
        <v>1.3</v>
      </c>
      <c r="BQ8" s="22">
        <v>1.3</v>
      </c>
      <c r="BR8" s="22">
        <v>1</v>
      </c>
      <c r="BS8" s="22">
        <v>1</v>
      </c>
      <c r="BT8" s="22">
        <v>1.3</v>
      </c>
      <c r="BU8" s="22">
        <v>1.3</v>
      </c>
      <c r="BV8" s="22">
        <v>1.3</v>
      </c>
      <c r="BW8" s="22">
        <v>1.3</v>
      </c>
      <c r="BX8" s="22">
        <v>1.3</v>
      </c>
      <c r="BY8" s="22">
        <v>1.3</v>
      </c>
      <c r="BZ8" s="22">
        <v>1.3</v>
      </c>
      <c r="CA8" s="22">
        <v>1.3</v>
      </c>
      <c r="CB8" s="22">
        <v>1.3</v>
      </c>
      <c r="CC8" s="22">
        <v>1.3</v>
      </c>
      <c r="CD8" s="22">
        <v>1.3</v>
      </c>
      <c r="CE8" s="22">
        <v>1.3</v>
      </c>
      <c r="CF8" s="22">
        <v>1.3</v>
      </c>
      <c r="CG8" s="22">
        <v>1.3</v>
      </c>
      <c r="CH8" s="22">
        <v>1.3</v>
      </c>
      <c r="CI8" s="22">
        <v>1.3</v>
      </c>
      <c r="CJ8" s="22"/>
      <c r="CK8" s="22">
        <v>1.3</v>
      </c>
      <c r="CL8" s="22">
        <v>1.3</v>
      </c>
      <c r="CM8" s="22">
        <v>1.3</v>
      </c>
      <c r="CN8" s="22"/>
      <c r="CO8" s="22">
        <v>1</v>
      </c>
      <c r="CP8" s="22">
        <v>1.3</v>
      </c>
      <c r="CQ8" s="22">
        <v>1.3</v>
      </c>
      <c r="CR8" s="22"/>
      <c r="CS8" s="22">
        <v>1</v>
      </c>
      <c r="CT8" s="22"/>
      <c r="CU8" s="22"/>
      <c r="CV8" s="22"/>
      <c r="CW8" s="22"/>
      <c r="CX8" s="22"/>
      <c r="CY8" s="22"/>
      <c r="CZ8" s="22"/>
      <c r="DA8" s="22">
        <v>1.3</v>
      </c>
      <c r="DB8" s="23">
        <f>SUMPRODUCT(Table4623[[#This Row],[1]:[100]],$F$2:$DA$2)</f>
        <v>968.20887445887513</v>
      </c>
      <c r="DC8" s="17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35.5</v>
      </c>
      <c r="DD8" s="26"/>
    </row>
    <row r="9" spans="1:108" outlineLevel="1" x14ac:dyDescent="0.25">
      <c r="A9" s="5">
        <v>5</v>
      </c>
      <c r="B9" s="22" t="s">
        <v>131</v>
      </c>
      <c r="C9" s="22" t="s">
        <v>132</v>
      </c>
      <c r="D9" s="22" t="s">
        <v>117</v>
      </c>
      <c r="E9" s="22"/>
      <c r="F9" s="22">
        <v>1.3</v>
      </c>
      <c r="G9" s="22">
        <v>1.3</v>
      </c>
      <c r="H9" s="22">
        <v>1.3</v>
      </c>
      <c r="I9" s="22">
        <v>1.3</v>
      </c>
      <c r="J9" s="22">
        <v>1.3</v>
      </c>
      <c r="K9" s="22">
        <v>1.3</v>
      </c>
      <c r="L9" s="22">
        <v>1.3</v>
      </c>
      <c r="M9" s="22">
        <v>1.3</v>
      </c>
      <c r="N9" s="22">
        <v>1.3</v>
      </c>
      <c r="O9" s="22">
        <v>1.3</v>
      </c>
      <c r="P9" s="22">
        <v>1.3</v>
      </c>
      <c r="Q9" s="22">
        <v>1.3</v>
      </c>
      <c r="R9" s="22">
        <v>1.3</v>
      </c>
      <c r="S9" s="22">
        <v>1.3</v>
      </c>
      <c r="T9" s="22">
        <v>1.3</v>
      </c>
      <c r="U9" s="22">
        <v>1.3</v>
      </c>
      <c r="V9" s="22">
        <v>1.3</v>
      </c>
      <c r="W9" s="22">
        <v>1.3</v>
      </c>
      <c r="X9" s="22">
        <v>1.3</v>
      </c>
      <c r="Y9" s="22">
        <v>1.3</v>
      </c>
      <c r="Z9" s="22">
        <v>1.3</v>
      </c>
      <c r="AA9" s="22">
        <v>1</v>
      </c>
      <c r="AB9" s="22">
        <v>1</v>
      </c>
      <c r="AC9" s="22">
        <v>1.3</v>
      </c>
      <c r="AD9" s="22">
        <v>1.3</v>
      </c>
      <c r="AE9" s="22">
        <v>1</v>
      </c>
      <c r="AF9" s="22">
        <v>1.3</v>
      </c>
      <c r="AG9" s="22">
        <v>1.3</v>
      </c>
      <c r="AH9" s="22">
        <v>1.3</v>
      </c>
      <c r="AI9" s="22">
        <v>1.3</v>
      </c>
      <c r="AJ9" s="22">
        <v>1.3</v>
      </c>
      <c r="AK9" s="22">
        <v>1.3</v>
      </c>
      <c r="AL9" s="22">
        <v>1.3</v>
      </c>
      <c r="AM9" s="22">
        <v>1.3</v>
      </c>
      <c r="AN9" s="22">
        <v>1.3</v>
      </c>
      <c r="AO9" s="22">
        <v>1.3</v>
      </c>
      <c r="AP9" s="22">
        <v>1.3</v>
      </c>
      <c r="AQ9" s="22">
        <v>1.3</v>
      </c>
      <c r="AR9" s="22">
        <v>1.3</v>
      </c>
      <c r="AS9" s="22">
        <v>1.3</v>
      </c>
      <c r="AT9" s="22">
        <v>1.3</v>
      </c>
      <c r="AU9" s="22">
        <v>1.3</v>
      </c>
      <c r="AV9" s="22">
        <v>1.3</v>
      </c>
      <c r="AW9" s="22">
        <v>1.3</v>
      </c>
      <c r="AX9" s="22">
        <v>1.3</v>
      </c>
      <c r="AY9" s="22">
        <v>1.3</v>
      </c>
      <c r="AZ9" s="22">
        <v>1.3</v>
      </c>
      <c r="BA9" s="22">
        <v>1.3</v>
      </c>
      <c r="BB9" s="22">
        <v>1.3</v>
      </c>
      <c r="BC9" s="22">
        <v>1.3</v>
      </c>
      <c r="BD9" s="22">
        <v>1.3</v>
      </c>
      <c r="BE9" s="22">
        <v>1.3</v>
      </c>
      <c r="BF9" s="22">
        <v>1.3</v>
      </c>
      <c r="BG9" s="22">
        <v>1.3</v>
      </c>
      <c r="BH9" s="22">
        <v>1.3</v>
      </c>
      <c r="BI9" s="22">
        <v>1.3</v>
      </c>
      <c r="BJ9" s="22">
        <v>1.3</v>
      </c>
      <c r="BK9" s="22">
        <v>1.3</v>
      </c>
      <c r="BL9" s="22">
        <v>1.3</v>
      </c>
      <c r="BM9" s="22">
        <v>1.3</v>
      </c>
      <c r="BN9" s="22">
        <v>1</v>
      </c>
      <c r="BO9" s="22">
        <v>1.3</v>
      </c>
      <c r="BP9" s="22">
        <v>1.3</v>
      </c>
      <c r="BQ9" s="22">
        <v>1.3</v>
      </c>
      <c r="BR9" s="22">
        <v>1</v>
      </c>
      <c r="BS9" s="22">
        <v>1.3</v>
      </c>
      <c r="BT9" s="22">
        <v>1.3</v>
      </c>
      <c r="BU9" s="22">
        <v>1.3</v>
      </c>
      <c r="BV9" s="22">
        <v>1.3</v>
      </c>
      <c r="BW9" s="22">
        <v>1.3</v>
      </c>
      <c r="BX9" s="22">
        <v>1.3</v>
      </c>
      <c r="BY9" s="22">
        <v>1.3</v>
      </c>
      <c r="BZ9" s="22">
        <v>1.3</v>
      </c>
      <c r="CA9" s="22">
        <v>1.3</v>
      </c>
      <c r="CB9" s="22">
        <v>1.3</v>
      </c>
      <c r="CC9" s="22">
        <v>1.3</v>
      </c>
      <c r="CD9" s="22">
        <v>1.3</v>
      </c>
      <c r="CE9" s="22">
        <v>1.3</v>
      </c>
      <c r="CF9" s="22">
        <v>1.3</v>
      </c>
      <c r="CG9" s="22">
        <v>1.3</v>
      </c>
      <c r="CH9" s="22">
        <v>1</v>
      </c>
      <c r="CI9" s="22">
        <v>1.3</v>
      </c>
      <c r="CJ9" s="22"/>
      <c r="CK9" s="22">
        <v>1</v>
      </c>
      <c r="CL9" s="22">
        <v>1</v>
      </c>
      <c r="CM9" s="22">
        <v>1.3</v>
      </c>
      <c r="CN9" s="22"/>
      <c r="CO9" s="22">
        <v>1</v>
      </c>
      <c r="CP9" s="22">
        <v>1.3</v>
      </c>
      <c r="CQ9" s="22">
        <v>1.3</v>
      </c>
      <c r="CR9" s="22">
        <v>1</v>
      </c>
      <c r="CS9" s="22">
        <v>1</v>
      </c>
      <c r="CT9" s="22">
        <v>1</v>
      </c>
      <c r="CU9" s="22"/>
      <c r="CV9" s="22"/>
      <c r="CW9" s="22"/>
      <c r="CX9" s="22"/>
      <c r="CY9" s="22"/>
      <c r="CZ9" s="22"/>
      <c r="DA9" s="22"/>
      <c r="DB9" s="23">
        <f>SUMPRODUCT(Table4623[[#This Row],[1]:[100]],$F$2:$DA$2)</f>
        <v>961.92682317682397</v>
      </c>
      <c r="DC9" s="17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36.1</v>
      </c>
      <c r="DD9" s="26"/>
    </row>
    <row r="10" spans="1:108" outlineLevel="1" x14ac:dyDescent="0.25">
      <c r="A10" s="4">
        <v>6</v>
      </c>
      <c r="B10" s="22" t="s">
        <v>197</v>
      </c>
      <c r="C10" s="22" t="s">
        <v>198</v>
      </c>
      <c r="D10" s="22" t="s">
        <v>317</v>
      </c>
      <c r="E10" s="22" t="s">
        <v>189</v>
      </c>
      <c r="F10" s="22">
        <v>1.3</v>
      </c>
      <c r="G10" s="22">
        <v>1.3</v>
      </c>
      <c r="H10" s="22">
        <v>1.3</v>
      </c>
      <c r="I10" s="22">
        <v>1.3</v>
      </c>
      <c r="J10" s="22">
        <v>1.3</v>
      </c>
      <c r="K10" s="22">
        <v>1.3</v>
      </c>
      <c r="L10" s="22">
        <v>1.3</v>
      </c>
      <c r="M10" s="22">
        <v>1.3</v>
      </c>
      <c r="N10" s="22">
        <v>1.3</v>
      </c>
      <c r="O10" s="22">
        <v>1.3</v>
      </c>
      <c r="P10" s="22">
        <v>1.3</v>
      </c>
      <c r="Q10" s="22">
        <v>1.3</v>
      </c>
      <c r="R10" s="22">
        <v>1.3</v>
      </c>
      <c r="S10" s="22">
        <v>1.3</v>
      </c>
      <c r="T10" s="22">
        <v>1.3</v>
      </c>
      <c r="U10" s="22">
        <v>1.3</v>
      </c>
      <c r="V10" s="22">
        <v>1.3</v>
      </c>
      <c r="W10" s="22">
        <v>1.3</v>
      </c>
      <c r="X10" s="22">
        <v>1.3</v>
      </c>
      <c r="Y10" s="22">
        <v>1.3</v>
      </c>
      <c r="Z10" s="22">
        <v>1.3</v>
      </c>
      <c r="AA10" s="22">
        <v>1</v>
      </c>
      <c r="AB10" s="22">
        <v>1.3</v>
      </c>
      <c r="AC10" s="22">
        <v>1.3</v>
      </c>
      <c r="AD10" s="22">
        <v>1.3</v>
      </c>
      <c r="AE10" s="22">
        <v>1.3</v>
      </c>
      <c r="AF10" s="22">
        <v>1.3</v>
      </c>
      <c r="AG10" s="22">
        <v>1.3</v>
      </c>
      <c r="AH10" s="22">
        <v>1.3</v>
      </c>
      <c r="AI10" s="22">
        <v>1.3</v>
      </c>
      <c r="AJ10" s="22">
        <v>1.3</v>
      </c>
      <c r="AK10" s="22">
        <v>1.3</v>
      </c>
      <c r="AL10" s="22">
        <v>1</v>
      </c>
      <c r="AM10" s="22">
        <v>1.3</v>
      </c>
      <c r="AN10" s="22">
        <v>1.3</v>
      </c>
      <c r="AO10" s="22">
        <v>1.3</v>
      </c>
      <c r="AP10" s="22">
        <v>1.3</v>
      </c>
      <c r="AQ10" s="22">
        <v>1.3</v>
      </c>
      <c r="AR10" s="22">
        <v>1.3</v>
      </c>
      <c r="AS10" s="22">
        <v>1.3</v>
      </c>
      <c r="AT10" s="22">
        <v>1.3</v>
      </c>
      <c r="AU10" s="22">
        <v>1.3</v>
      </c>
      <c r="AV10" s="22">
        <v>1.3</v>
      </c>
      <c r="AW10" s="22">
        <v>1.3</v>
      </c>
      <c r="AX10" s="22">
        <v>1.3</v>
      </c>
      <c r="AY10" s="22">
        <v>1.3</v>
      </c>
      <c r="AZ10" s="22">
        <v>1.3</v>
      </c>
      <c r="BA10" s="22">
        <v>1.3</v>
      </c>
      <c r="BB10" s="22">
        <v>1.3</v>
      </c>
      <c r="BC10" s="22">
        <v>1.3</v>
      </c>
      <c r="BD10" s="22">
        <v>1.3</v>
      </c>
      <c r="BE10" s="22">
        <v>1.3</v>
      </c>
      <c r="BF10" s="22">
        <v>1.3</v>
      </c>
      <c r="BG10" s="22">
        <v>1.3</v>
      </c>
      <c r="BH10" s="22">
        <v>1.3</v>
      </c>
      <c r="BI10" s="22">
        <v>1.3</v>
      </c>
      <c r="BJ10" s="22">
        <v>1.3</v>
      </c>
      <c r="BK10" s="22">
        <v>1.3</v>
      </c>
      <c r="BL10" s="22">
        <v>1.3</v>
      </c>
      <c r="BM10" s="22">
        <v>1.3</v>
      </c>
      <c r="BN10" s="22">
        <v>1</v>
      </c>
      <c r="BO10" s="22">
        <v>1.3</v>
      </c>
      <c r="BP10" s="22">
        <v>1.3</v>
      </c>
      <c r="BQ10" s="22">
        <v>1.3</v>
      </c>
      <c r="BR10" s="22">
        <v>1</v>
      </c>
      <c r="BS10" s="22">
        <v>1</v>
      </c>
      <c r="BT10" s="22">
        <v>1.3</v>
      </c>
      <c r="BU10" s="22">
        <v>1.3</v>
      </c>
      <c r="BV10" s="22">
        <v>1.3</v>
      </c>
      <c r="BW10" s="22">
        <v>1.3</v>
      </c>
      <c r="BX10" s="22">
        <v>1.3</v>
      </c>
      <c r="BY10" s="22">
        <v>1.3</v>
      </c>
      <c r="BZ10" s="22">
        <v>1.3</v>
      </c>
      <c r="CA10" s="22">
        <v>1.3</v>
      </c>
      <c r="CB10" s="22">
        <v>1.3</v>
      </c>
      <c r="CC10" s="22">
        <v>1.3</v>
      </c>
      <c r="CD10" s="22">
        <v>1.3</v>
      </c>
      <c r="CE10" s="22">
        <v>1.3</v>
      </c>
      <c r="CF10" s="22">
        <v>1.3</v>
      </c>
      <c r="CG10" s="22">
        <v>1.3</v>
      </c>
      <c r="CH10" s="22">
        <v>1.3</v>
      </c>
      <c r="CI10" s="22">
        <v>1.3</v>
      </c>
      <c r="CJ10" s="22"/>
      <c r="CK10" s="22">
        <v>1.3</v>
      </c>
      <c r="CL10" s="22">
        <v>1</v>
      </c>
      <c r="CM10" s="22">
        <v>1.3</v>
      </c>
      <c r="CN10" s="22"/>
      <c r="CO10" s="22">
        <v>1</v>
      </c>
      <c r="CP10" s="22">
        <v>1.3</v>
      </c>
      <c r="CQ10" s="22">
        <v>1.3</v>
      </c>
      <c r="CR10" s="22"/>
      <c r="CS10" s="22"/>
      <c r="CT10" s="22">
        <v>1</v>
      </c>
      <c r="CU10" s="22"/>
      <c r="CV10" s="22"/>
      <c r="CW10" s="22"/>
      <c r="CX10" s="22"/>
      <c r="CY10" s="22"/>
      <c r="CZ10" s="22"/>
      <c r="DA10" s="22"/>
      <c r="DB10" s="23">
        <f>SUMPRODUCT(Table4623[[#This Row],[1]:[100]],$F$2:$DA$2)</f>
        <v>916.20887445887513</v>
      </c>
      <c r="DC10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35.800000000000004</v>
      </c>
      <c r="DD10" s="26"/>
    </row>
    <row r="11" spans="1:108" outlineLevel="1" x14ac:dyDescent="0.25">
      <c r="A11" s="4">
        <v>7</v>
      </c>
      <c r="B11" s="22" t="s">
        <v>142</v>
      </c>
      <c r="C11" s="22" t="s">
        <v>143</v>
      </c>
      <c r="D11" s="22" t="s">
        <v>346</v>
      </c>
      <c r="E11" s="22" t="s">
        <v>350</v>
      </c>
      <c r="F11" s="22">
        <v>1.3</v>
      </c>
      <c r="G11" s="22">
        <v>1.3</v>
      </c>
      <c r="H11" s="22">
        <v>1.3</v>
      </c>
      <c r="I11" s="22">
        <v>1.3</v>
      </c>
      <c r="J11" s="22">
        <v>1.3</v>
      </c>
      <c r="K11" s="22">
        <v>1.3</v>
      </c>
      <c r="L11" s="22">
        <v>1.3</v>
      </c>
      <c r="M11" s="22">
        <v>1.3</v>
      </c>
      <c r="N11" s="22">
        <v>1.3</v>
      </c>
      <c r="O11" s="22">
        <v>1.3</v>
      </c>
      <c r="P11" s="22">
        <v>1.3</v>
      </c>
      <c r="Q11" s="22">
        <v>1.3</v>
      </c>
      <c r="R11" s="22">
        <v>1.3</v>
      </c>
      <c r="S11" s="22">
        <v>1.3</v>
      </c>
      <c r="T11" s="22">
        <v>1.3</v>
      </c>
      <c r="U11" s="22">
        <v>1.3</v>
      </c>
      <c r="V11" s="22">
        <v>1.3</v>
      </c>
      <c r="W11" s="22">
        <v>1.3</v>
      </c>
      <c r="X11" s="22">
        <v>1.3</v>
      </c>
      <c r="Y11" s="22">
        <v>1.3</v>
      </c>
      <c r="Z11" s="22">
        <v>1.3</v>
      </c>
      <c r="AA11" s="22">
        <v>1</v>
      </c>
      <c r="AB11" s="22">
        <v>1.3</v>
      </c>
      <c r="AC11" s="22">
        <v>1.3</v>
      </c>
      <c r="AD11" s="22">
        <v>1</v>
      </c>
      <c r="AE11" s="22">
        <v>1</v>
      </c>
      <c r="AF11" s="22">
        <v>1.3</v>
      </c>
      <c r="AG11" s="22">
        <v>1.3</v>
      </c>
      <c r="AH11" s="22">
        <v>1.3</v>
      </c>
      <c r="AI11" s="22">
        <v>1.3</v>
      </c>
      <c r="AJ11" s="22">
        <v>1.3</v>
      </c>
      <c r="AK11" s="22">
        <v>1.3</v>
      </c>
      <c r="AL11" s="22">
        <v>1</v>
      </c>
      <c r="AM11" s="22">
        <v>1.3</v>
      </c>
      <c r="AN11" s="22">
        <v>1.3</v>
      </c>
      <c r="AO11" s="22">
        <v>1.3</v>
      </c>
      <c r="AP11" s="22">
        <v>1.3</v>
      </c>
      <c r="AQ11" s="22">
        <v>1.3</v>
      </c>
      <c r="AR11" s="22">
        <v>1.3</v>
      </c>
      <c r="AS11" s="22">
        <v>1.3</v>
      </c>
      <c r="AT11" s="22">
        <v>1.3</v>
      </c>
      <c r="AU11" s="22">
        <v>1.3</v>
      </c>
      <c r="AV11" s="22">
        <v>1.3</v>
      </c>
      <c r="AW11" s="22">
        <v>1.3</v>
      </c>
      <c r="AX11" s="22">
        <v>1</v>
      </c>
      <c r="AY11" s="22">
        <v>1.3</v>
      </c>
      <c r="AZ11" s="22">
        <v>1.3</v>
      </c>
      <c r="BA11" s="22">
        <v>1</v>
      </c>
      <c r="BB11" s="22">
        <v>1.3</v>
      </c>
      <c r="BC11" s="22">
        <v>1.3</v>
      </c>
      <c r="BD11" s="22">
        <v>1.3</v>
      </c>
      <c r="BE11" s="22">
        <v>1.3</v>
      </c>
      <c r="BF11" s="22">
        <v>1.3</v>
      </c>
      <c r="BG11" s="22">
        <v>1.3</v>
      </c>
      <c r="BH11" s="22">
        <v>1.3</v>
      </c>
      <c r="BI11" s="22">
        <v>1</v>
      </c>
      <c r="BJ11" s="22">
        <v>1</v>
      </c>
      <c r="BK11" s="22">
        <v>1</v>
      </c>
      <c r="BL11" s="22">
        <v>1</v>
      </c>
      <c r="BM11" s="22">
        <v>1.3</v>
      </c>
      <c r="BN11" s="22"/>
      <c r="BO11" s="22">
        <v>1.3</v>
      </c>
      <c r="BP11" s="22">
        <v>1.3</v>
      </c>
      <c r="BQ11" s="22">
        <v>1.3</v>
      </c>
      <c r="BR11" s="22"/>
      <c r="BS11" s="22">
        <v>1</v>
      </c>
      <c r="BT11" s="22">
        <v>1.3</v>
      </c>
      <c r="BU11" s="22">
        <v>1.3</v>
      </c>
      <c r="BV11" s="22">
        <v>1</v>
      </c>
      <c r="BW11" s="22">
        <v>1.3</v>
      </c>
      <c r="BX11" s="22">
        <v>1</v>
      </c>
      <c r="BY11" s="22">
        <v>1.3</v>
      </c>
      <c r="BZ11" s="22">
        <v>1.3</v>
      </c>
      <c r="CA11" s="22">
        <v>1.3</v>
      </c>
      <c r="CB11" s="22">
        <v>1.3</v>
      </c>
      <c r="CC11" s="22">
        <v>1.3</v>
      </c>
      <c r="CD11" s="22">
        <v>1.3</v>
      </c>
      <c r="CE11" s="22">
        <v>1.3</v>
      </c>
      <c r="CF11" s="22">
        <v>1.3</v>
      </c>
      <c r="CG11" s="22">
        <v>1.3</v>
      </c>
      <c r="CH11" s="22">
        <v>1</v>
      </c>
      <c r="CI11" s="22">
        <v>1</v>
      </c>
      <c r="CJ11" s="22"/>
      <c r="CK11" s="22">
        <v>1</v>
      </c>
      <c r="CL11" s="22">
        <v>1</v>
      </c>
      <c r="CM11" s="22">
        <v>1.3</v>
      </c>
      <c r="CN11" s="22"/>
      <c r="CO11" s="22"/>
      <c r="CP11" s="22"/>
      <c r="CQ11" s="22">
        <v>1.3</v>
      </c>
      <c r="CR11" s="22"/>
      <c r="CS11" s="22"/>
      <c r="CT11" s="22">
        <v>1</v>
      </c>
      <c r="CU11" s="22"/>
      <c r="CV11" s="22"/>
      <c r="CW11" s="22"/>
      <c r="CX11" s="22"/>
      <c r="CY11" s="22"/>
      <c r="CZ11" s="22"/>
      <c r="DA11" s="22"/>
      <c r="DB11" s="23">
        <f>SUMPRODUCT(Table4623[[#This Row],[1]:[100]],$F$2:$DA$2)</f>
        <v>805.06751581751655</v>
      </c>
      <c r="DC11" s="17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34.300000000000004</v>
      </c>
      <c r="DD11" s="26"/>
    </row>
    <row r="12" spans="1:108" outlineLevel="1" x14ac:dyDescent="0.25">
      <c r="A12" s="5">
        <v>8</v>
      </c>
      <c r="B12" s="22" t="s">
        <v>140</v>
      </c>
      <c r="C12" s="22" t="s">
        <v>265</v>
      </c>
      <c r="D12" s="22" t="s">
        <v>346</v>
      </c>
      <c r="E12" s="22" t="s">
        <v>349</v>
      </c>
      <c r="F12" s="22">
        <v>1.3</v>
      </c>
      <c r="G12" s="22">
        <v>1.3</v>
      </c>
      <c r="H12" s="22">
        <v>1.3</v>
      </c>
      <c r="I12" s="22">
        <v>1.3</v>
      </c>
      <c r="J12" s="22">
        <v>1.3</v>
      </c>
      <c r="K12" s="22">
        <v>1.3</v>
      </c>
      <c r="L12" s="22">
        <v>1.3</v>
      </c>
      <c r="M12" s="22">
        <v>1.3</v>
      </c>
      <c r="N12" s="22">
        <v>1.3</v>
      </c>
      <c r="O12" s="22">
        <v>1.3</v>
      </c>
      <c r="P12" s="22">
        <v>1.3</v>
      </c>
      <c r="Q12" s="22">
        <v>1.3</v>
      </c>
      <c r="R12" s="22">
        <v>1.3</v>
      </c>
      <c r="S12" s="22">
        <v>1.3</v>
      </c>
      <c r="T12" s="22">
        <v>1.3</v>
      </c>
      <c r="U12" s="22">
        <v>1.3</v>
      </c>
      <c r="V12" s="22">
        <v>1.3</v>
      </c>
      <c r="W12" s="22">
        <v>1.3</v>
      </c>
      <c r="X12" s="22">
        <v>1.3</v>
      </c>
      <c r="Y12" s="22">
        <v>1</v>
      </c>
      <c r="Z12" s="22">
        <v>1.3</v>
      </c>
      <c r="AA12" s="22">
        <v>1.3</v>
      </c>
      <c r="AB12" s="22">
        <v>1.3</v>
      </c>
      <c r="AC12" s="22">
        <v>1.3</v>
      </c>
      <c r="AD12" s="22">
        <v>1</v>
      </c>
      <c r="AE12" s="22">
        <v>1.3</v>
      </c>
      <c r="AF12" s="22">
        <v>1.3</v>
      </c>
      <c r="AG12" s="22">
        <v>1</v>
      </c>
      <c r="AH12" s="22">
        <v>1.3</v>
      </c>
      <c r="AI12" s="22">
        <v>1.3</v>
      </c>
      <c r="AJ12" s="22">
        <v>1.3</v>
      </c>
      <c r="AK12" s="22">
        <v>1.3</v>
      </c>
      <c r="AL12" s="22">
        <v>1</v>
      </c>
      <c r="AM12" s="22">
        <v>1.3</v>
      </c>
      <c r="AN12" s="22">
        <v>1.3</v>
      </c>
      <c r="AO12" s="22">
        <v>1</v>
      </c>
      <c r="AP12" s="22">
        <v>1.3</v>
      </c>
      <c r="AQ12" s="22">
        <v>1</v>
      </c>
      <c r="AR12" s="22">
        <v>1.3</v>
      </c>
      <c r="AS12" s="22">
        <v>1.3</v>
      </c>
      <c r="AT12" s="22">
        <v>1.3</v>
      </c>
      <c r="AU12" s="22">
        <v>1.3</v>
      </c>
      <c r="AV12" s="22">
        <v>1.3</v>
      </c>
      <c r="AW12" s="22">
        <v>1.3</v>
      </c>
      <c r="AX12" s="22">
        <v>1</v>
      </c>
      <c r="AY12" s="22">
        <v>1.3</v>
      </c>
      <c r="AZ12" s="22">
        <v>1.3</v>
      </c>
      <c r="BA12" s="22">
        <v>1.3</v>
      </c>
      <c r="BB12" s="22">
        <v>1.3</v>
      </c>
      <c r="BC12" s="22">
        <v>1.3</v>
      </c>
      <c r="BD12" s="22">
        <v>1.3</v>
      </c>
      <c r="BE12" s="22">
        <v>1.3</v>
      </c>
      <c r="BF12" s="22">
        <v>1</v>
      </c>
      <c r="BG12" s="22">
        <v>1.3</v>
      </c>
      <c r="BH12" s="22">
        <v>1</v>
      </c>
      <c r="BI12" s="22">
        <v>1</v>
      </c>
      <c r="BJ12" s="22">
        <v>1.3</v>
      </c>
      <c r="BK12" s="22">
        <v>1</v>
      </c>
      <c r="BL12" s="22">
        <v>1</v>
      </c>
      <c r="BM12" s="22">
        <v>1</v>
      </c>
      <c r="BN12" s="22"/>
      <c r="BO12" s="22">
        <v>1.3</v>
      </c>
      <c r="BP12" s="22">
        <v>1</v>
      </c>
      <c r="BQ12" s="22">
        <v>1.3</v>
      </c>
      <c r="BR12" s="22"/>
      <c r="BS12" s="22">
        <v>1</v>
      </c>
      <c r="BT12" s="22">
        <v>1</v>
      </c>
      <c r="BU12" s="22">
        <v>1</v>
      </c>
      <c r="BV12" s="22">
        <v>1.3</v>
      </c>
      <c r="BW12" s="22">
        <v>1.3</v>
      </c>
      <c r="BX12" s="22">
        <v>1.3</v>
      </c>
      <c r="BY12" s="22">
        <v>1.3</v>
      </c>
      <c r="BZ12" s="22">
        <v>1</v>
      </c>
      <c r="CA12" s="22">
        <v>1</v>
      </c>
      <c r="CB12" s="22">
        <v>1</v>
      </c>
      <c r="CC12" s="22">
        <v>1.3</v>
      </c>
      <c r="CD12" s="22">
        <v>1</v>
      </c>
      <c r="CE12" s="22">
        <v>1.3</v>
      </c>
      <c r="CF12" s="22">
        <v>1.3</v>
      </c>
      <c r="CG12" s="22">
        <v>1.3</v>
      </c>
      <c r="CH12" s="22">
        <v>1.3</v>
      </c>
      <c r="CI12" s="22">
        <v>1</v>
      </c>
      <c r="CJ12" s="22">
        <v>1</v>
      </c>
      <c r="CK12" s="22">
        <v>1</v>
      </c>
      <c r="CL12" s="22"/>
      <c r="CM12" s="22">
        <v>1</v>
      </c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3">
        <f>SUMPRODUCT(Table4623[[#This Row],[1]:[100]],$F$2:$DA$2)</f>
        <v>775.3712398712405</v>
      </c>
      <c r="DC12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31.400000000000009</v>
      </c>
      <c r="DD12" s="26"/>
    </row>
    <row r="13" spans="1:108" outlineLevel="1" x14ac:dyDescent="0.25">
      <c r="A13" s="4">
        <v>9</v>
      </c>
      <c r="B13" s="22" t="s">
        <v>167</v>
      </c>
      <c r="C13" s="22" t="s">
        <v>206</v>
      </c>
      <c r="D13" s="22" t="s">
        <v>182</v>
      </c>
      <c r="E13" s="22"/>
      <c r="F13" s="22">
        <v>1.3</v>
      </c>
      <c r="G13" s="22">
        <v>1.3</v>
      </c>
      <c r="H13" s="22">
        <v>1.3</v>
      </c>
      <c r="I13" s="22">
        <v>1.3</v>
      </c>
      <c r="J13" s="22">
        <v>1.3</v>
      </c>
      <c r="K13" s="22">
        <v>1.3</v>
      </c>
      <c r="L13" s="22">
        <v>1.3</v>
      </c>
      <c r="M13" s="22">
        <v>1.3</v>
      </c>
      <c r="N13" s="22">
        <v>1.3</v>
      </c>
      <c r="O13" s="22">
        <v>1.3</v>
      </c>
      <c r="P13" s="22">
        <v>1.3</v>
      </c>
      <c r="Q13" s="22">
        <v>1.3</v>
      </c>
      <c r="R13" s="22">
        <v>1.3</v>
      </c>
      <c r="S13" s="22">
        <v>1.3</v>
      </c>
      <c r="T13" s="22">
        <v>1.3</v>
      </c>
      <c r="U13" s="22">
        <v>1.3</v>
      </c>
      <c r="V13" s="22">
        <v>1.3</v>
      </c>
      <c r="W13" s="22">
        <v>1.3</v>
      </c>
      <c r="X13" s="22">
        <v>1.3</v>
      </c>
      <c r="Y13" s="22">
        <v>1.3</v>
      </c>
      <c r="Z13" s="22">
        <v>1.3</v>
      </c>
      <c r="AA13" s="22">
        <v>1</v>
      </c>
      <c r="AB13" s="22">
        <v>1</v>
      </c>
      <c r="AC13" s="22">
        <v>1.3</v>
      </c>
      <c r="AD13" s="22">
        <v>1.3</v>
      </c>
      <c r="AE13" s="22">
        <v>1.3</v>
      </c>
      <c r="AF13" s="22">
        <v>1.3</v>
      </c>
      <c r="AG13" s="22">
        <v>1</v>
      </c>
      <c r="AH13" s="22">
        <v>1</v>
      </c>
      <c r="AI13" s="22">
        <v>1.3</v>
      </c>
      <c r="AJ13" s="22">
        <v>1.3</v>
      </c>
      <c r="AK13" s="22">
        <v>1.3</v>
      </c>
      <c r="AL13" s="22">
        <v>1</v>
      </c>
      <c r="AM13" s="22">
        <v>1.3</v>
      </c>
      <c r="AN13" s="22">
        <v>1.3</v>
      </c>
      <c r="AO13" s="22">
        <v>1.3</v>
      </c>
      <c r="AP13" s="22">
        <v>1.3</v>
      </c>
      <c r="AQ13" s="22">
        <v>1.3</v>
      </c>
      <c r="AR13" s="22">
        <v>1.3</v>
      </c>
      <c r="AS13" s="22">
        <v>1.3</v>
      </c>
      <c r="AT13" s="22">
        <v>1.3</v>
      </c>
      <c r="AU13" s="22">
        <v>1.3</v>
      </c>
      <c r="AV13" s="22">
        <v>1.3</v>
      </c>
      <c r="AW13" s="22">
        <v>1.3</v>
      </c>
      <c r="AX13" s="22">
        <v>1</v>
      </c>
      <c r="AY13" s="22">
        <v>1.3</v>
      </c>
      <c r="AZ13" s="22">
        <v>1.3</v>
      </c>
      <c r="BA13" s="22">
        <v>1.3</v>
      </c>
      <c r="BB13" s="22">
        <v>1.3</v>
      </c>
      <c r="BC13" s="22">
        <v>1.3</v>
      </c>
      <c r="BD13" s="22">
        <v>1.3</v>
      </c>
      <c r="BE13" s="22">
        <v>1.3</v>
      </c>
      <c r="BF13" s="22"/>
      <c r="BG13" s="22">
        <v>1.3</v>
      </c>
      <c r="BH13" s="22">
        <v>1.3</v>
      </c>
      <c r="BI13" s="22">
        <v>1</v>
      </c>
      <c r="BJ13" s="22">
        <v>1.3</v>
      </c>
      <c r="BK13" s="22">
        <v>1.3</v>
      </c>
      <c r="BL13" s="22"/>
      <c r="BM13" s="22">
        <v>1.3</v>
      </c>
      <c r="BN13" s="22"/>
      <c r="BO13" s="22">
        <v>1.3</v>
      </c>
      <c r="BP13" s="22">
        <v>1</v>
      </c>
      <c r="BQ13" s="22">
        <v>1.3</v>
      </c>
      <c r="BR13" s="22"/>
      <c r="BS13" s="22"/>
      <c r="BT13" s="22">
        <v>1</v>
      </c>
      <c r="BU13" s="22">
        <v>1.3</v>
      </c>
      <c r="BV13" s="22">
        <v>1.3</v>
      </c>
      <c r="BW13" s="22">
        <v>1.3</v>
      </c>
      <c r="BX13" s="22">
        <v>1.3</v>
      </c>
      <c r="BY13" s="22">
        <v>1.3</v>
      </c>
      <c r="BZ13" s="22">
        <v>1.3</v>
      </c>
      <c r="CA13" s="22">
        <v>1</v>
      </c>
      <c r="CB13" s="22">
        <v>1.3</v>
      </c>
      <c r="CC13" s="22">
        <v>1.3</v>
      </c>
      <c r="CD13" s="22">
        <v>1</v>
      </c>
      <c r="CE13" s="22">
        <v>1.3</v>
      </c>
      <c r="CF13" s="22">
        <v>1.3</v>
      </c>
      <c r="CG13" s="22">
        <v>1</v>
      </c>
      <c r="CH13" s="22">
        <v>1.3</v>
      </c>
      <c r="CI13" s="22">
        <v>1</v>
      </c>
      <c r="CJ13" s="22"/>
      <c r="CK13" s="22">
        <v>1.3</v>
      </c>
      <c r="CL13" s="22"/>
      <c r="CM13" s="22">
        <v>1.3</v>
      </c>
      <c r="CN13" s="22"/>
      <c r="CO13" s="22"/>
      <c r="CP13" s="22"/>
      <c r="CQ13" s="22">
        <v>1.3</v>
      </c>
      <c r="CR13" s="22"/>
      <c r="CS13" s="22"/>
      <c r="CT13" s="22">
        <v>1</v>
      </c>
      <c r="CU13" s="22"/>
      <c r="CV13" s="22"/>
      <c r="CW13" s="22"/>
      <c r="CX13" s="22"/>
      <c r="CY13" s="22"/>
      <c r="CZ13" s="22"/>
      <c r="DA13" s="22"/>
      <c r="DB13" s="23">
        <f>SUMPRODUCT(Table4623[[#This Row],[1]:[100]],$F$2:$DA$2)</f>
        <v>753.90695415695473</v>
      </c>
      <c r="DC13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32.600000000000009</v>
      </c>
      <c r="DD13" s="26"/>
    </row>
    <row r="14" spans="1:108" outlineLevel="1" x14ac:dyDescent="0.25">
      <c r="A14" s="4">
        <v>10</v>
      </c>
      <c r="B14" s="22" t="s">
        <v>133</v>
      </c>
      <c r="C14" s="22" t="s">
        <v>134</v>
      </c>
      <c r="D14" s="22" t="s">
        <v>346</v>
      </c>
      <c r="E14" s="22" t="s">
        <v>135</v>
      </c>
      <c r="F14" s="22">
        <v>1.3</v>
      </c>
      <c r="G14" s="22">
        <v>1.3</v>
      </c>
      <c r="H14" s="22">
        <v>1.3</v>
      </c>
      <c r="I14" s="22">
        <v>1.3</v>
      </c>
      <c r="J14" s="22">
        <v>1.3</v>
      </c>
      <c r="K14" s="22">
        <v>1.3</v>
      </c>
      <c r="L14" s="22">
        <v>1.3</v>
      </c>
      <c r="M14" s="22">
        <v>1.3</v>
      </c>
      <c r="N14" s="22">
        <v>1</v>
      </c>
      <c r="O14" s="22">
        <v>1.3</v>
      </c>
      <c r="P14" s="22">
        <v>1.3</v>
      </c>
      <c r="Q14" s="22">
        <v>1.3</v>
      </c>
      <c r="R14" s="22">
        <v>1.3</v>
      </c>
      <c r="S14" s="22">
        <v>1.3</v>
      </c>
      <c r="T14" s="22">
        <v>1.3</v>
      </c>
      <c r="U14" s="22">
        <v>1.3</v>
      </c>
      <c r="V14" s="22">
        <v>1.3</v>
      </c>
      <c r="W14" s="22">
        <v>1.3</v>
      </c>
      <c r="X14" s="22">
        <v>1.3</v>
      </c>
      <c r="Y14" s="22">
        <v>1.3</v>
      </c>
      <c r="Z14" s="22">
        <v>1.3</v>
      </c>
      <c r="AA14" s="22">
        <v>1</v>
      </c>
      <c r="AB14" s="22">
        <v>1</v>
      </c>
      <c r="AC14" s="22">
        <v>1.3</v>
      </c>
      <c r="AD14" s="22">
        <v>1.3</v>
      </c>
      <c r="AE14" s="22">
        <v>1.3</v>
      </c>
      <c r="AF14" s="22">
        <v>1.3</v>
      </c>
      <c r="AG14" s="22">
        <v>1.3</v>
      </c>
      <c r="AH14" s="22">
        <v>1.3</v>
      </c>
      <c r="AI14" s="22">
        <v>1.3</v>
      </c>
      <c r="AJ14" s="22">
        <v>1.3</v>
      </c>
      <c r="AK14" s="22">
        <v>1.3</v>
      </c>
      <c r="AL14" s="22">
        <v>1.3</v>
      </c>
      <c r="AM14" s="22">
        <v>1</v>
      </c>
      <c r="AN14" s="22">
        <v>1.3</v>
      </c>
      <c r="AO14" s="22">
        <v>1.3</v>
      </c>
      <c r="AP14" s="22">
        <v>1.3</v>
      </c>
      <c r="AQ14" s="22">
        <v>1.3</v>
      </c>
      <c r="AR14" s="22">
        <v>1.3</v>
      </c>
      <c r="AS14" s="22">
        <v>1.3</v>
      </c>
      <c r="AT14" s="22">
        <v>1</v>
      </c>
      <c r="AU14" s="22">
        <v>1.3</v>
      </c>
      <c r="AV14" s="22">
        <v>1.3</v>
      </c>
      <c r="AW14" s="22">
        <v>1.3</v>
      </c>
      <c r="AX14" s="22">
        <v>1</v>
      </c>
      <c r="AY14" s="22">
        <v>1.3</v>
      </c>
      <c r="AZ14" s="22">
        <v>1.3</v>
      </c>
      <c r="BA14" s="22">
        <v>1.3</v>
      </c>
      <c r="BB14" s="22">
        <v>1.3</v>
      </c>
      <c r="BC14" s="22">
        <v>1.3</v>
      </c>
      <c r="BD14" s="22">
        <v>1.3</v>
      </c>
      <c r="BE14" s="22">
        <v>1.3</v>
      </c>
      <c r="BF14" s="22"/>
      <c r="BG14" s="22">
        <v>1.3</v>
      </c>
      <c r="BH14" s="22">
        <v>1</v>
      </c>
      <c r="BI14" s="22"/>
      <c r="BJ14" s="22">
        <v>1</v>
      </c>
      <c r="BK14" s="22">
        <v>1</v>
      </c>
      <c r="BL14" s="22">
        <v>1</v>
      </c>
      <c r="BM14" s="22">
        <v>1.3</v>
      </c>
      <c r="BN14" s="22"/>
      <c r="BO14" s="22">
        <v>1</v>
      </c>
      <c r="BP14" s="22">
        <v>1</v>
      </c>
      <c r="BQ14" s="22">
        <v>1.3</v>
      </c>
      <c r="BR14" s="22"/>
      <c r="BS14" s="22"/>
      <c r="BT14" s="22"/>
      <c r="BU14" s="22"/>
      <c r="BV14" s="22">
        <v>1</v>
      </c>
      <c r="BW14" s="22">
        <v>1.3</v>
      </c>
      <c r="BX14" s="22"/>
      <c r="BY14" s="22">
        <v>1.3</v>
      </c>
      <c r="BZ14" s="22">
        <v>1.3</v>
      </c>
      <c r="CA14" s="22">
        <v>1</v>
      </c>
      <c r="CB14" s="22">
        <v>1</v>
      </c>
      <c r="CC14" s="22">
        <v>1.3</v>
      </c>
      <c r="CD14" s="22">
        <v>1</v>
      </c>
      <c r="CE14" s="22">
        <v>1</v>
      </c>
      <c r="CF14" s="22">
        <v>1.3</v>
      </c>
      <c r="CG14" s="22">
        <v>1</v>
      </c>
      <c r="CH14" s="22">
        <v>1</v>
      </c>
      <c r="CI14" s="22">
        <v>1</v>
      </c>
      <c r="CJ14" s="22"/>
      <c r="CK14" s="22">
        <v>1</v>
      </c>
      <c r="CL14" s="22"/>
      <c r="CM14" s="22">
        <v>1.3</v>
      </c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3">
        <f>SUMPRODUCT(Table4623[[#This Row],[1]:[100]],$F$2:$DA$2)</f>
        <v>671.23568098568137</v>
      </c>
      <c r="DC14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26.500000000000007</v>
      </c>
      <c r="DD14" s="26"/>
    </row>
    <row r="15" spans="1:108" outlineLevel="1" x14ac:dyDescent="0.25">
      <c r="A15" s="5">
        <v>11</v>
      </c>
      <c r="B15" s="24" t="s">
        <v>138</v>
      </c>
      <c r="C15" s="24" t="s">
        <v>139</v>
      </c>
      <c r="D15" s="22" t="s">
        <v>346</v>
      </c>
      <c r="E15" s="22" t="s">
        <v>350</v>
      </c>
      <c r="F15" s="24">
        <v>1.3</v>
      </c>
      <c r="G15" s="24">
        <v>1.3</v>
      </c>
      <c r="H15" s="24">
        <v>1.3</v>
      </c>
      <c r="I15" s="24">
        <v>1.3</v>
      </c>
      <c r="J15" s="24">
        <v>1.3</v>
      </c>
      <c r="K15" s="24">
        <v>1.3</v>
      </c>
      <c r="L15" s="24">
        <v>1.3</v>
      </c>
      <c r="M15" s="24">
        <v>1.3</v>
      </c>
      <c r="N15" s="24">
        <v>1.3</v>
      </c>
      <c r="O15" s="24">
        <v>1.3</v>
      </c>
      <c r="P15" s="24">
        <v>1.3</v>
      </c>
      <c r="Q15" s="24">
        <v>1.3</v>
      </c>
      <c r="R15" s="24">
        <v>1.3</v>
      </c>
      <c r="S15" s="24">
        <v>1.3</v>
      </c>
      <c r="T15" s="24">
        <v>1.3</v>
      </c>
      <c r="U15" s="24">
        <v>1.3</v>
      </c>
      <c r="V15" s="24">
        <v>1.3</v>
      </c>
      <c r="W15" s="24">
        <v>1.3</v>
      </c>
      <c r="X15" s="24">
        <v>1.3</v>
      </c>
      <c r="Y15" s="24">
        <v>1</v>
      </c>
      <c r="Z15" s="24">
        <v>1</v>
      </c>
      <c r="AA15" s="24">
        <v>1</v>
      </c>
      <c r="AB15" s="24">
        <v>1</v>
      </c>
      <c r="AC15" s="24">
        <v>1.3</v>
      </c>
      <c r="AD15" s="24"/>
      <c r="AE15" s="24"/>
      <c r="AF15" s="24">
        <v>1.3</v>
      </c>
      <c r="AG15" s="24">
        <v>1</v>
      </c>
      <c r="AH15" s="24">
        <v>1</v>
      </c>
      <c r="AI15" s="24">
        <v>1.3</v>
      </c>
      <c r="AJ15" s="24">
        <v>1</v>
      </c>
      <c r="AK15" s="24">
        <v>1.3</v>
      </c>
      <c r="AL15" s="24">
        <v>1</v>
      </c>
      <c r="AM15" s="24">
        <v>1.3</v>
      </c>
      <c r="AN15" s="24">
        <v>1.3</v>
      </c>
      <c r="AO15" s="24">
        <v>1.3</v>
      </c>
      <c r="AP15" s="24">
        <v>1.3</v>
      </c>
      <c r="AQ15" s="24">
        <v>1.3</v>
      </c>
      <c r="AR15" s="24">
        <v>1.3</v>
      </c>
      <c r="AS15" s="24">
        <v>1.3</v>
      </c>
      <c r="AT15" s="24">
        <v>1.3</v>
      </c>
      <c r="AU15" s="24">
        <v>1.3</v>
      </c>
      <c r="AV15" s="24">
        <v>1.3</v>
      </c>
      <c r="AW15" s="24">
        <v>1.3</v>
      </c>
      <c r="AX15" s="24">
        <v>1</v>
      </c>
      <c r="AY15" s="24">
        <v>1.3</v>
      </c>
      <c r="AZ15" s="24">
        <v>1.3</v>
      </c>
      <c r="BA15" s="24">
        <v>1</v>
      </c>
      <c r="BB15" s="24">
        <v>1.3</v>
      </c>
      <c r="BC15" s="24">
        <v>1</v>
      </c>
      <c r="BD15" s="24">
        <v>1.3</v>
      </c>
      <c r="BE15" s="24">
        <v>1.3</v>
      </c>
      <c r="BF15" s="24"/>
      <c r="BG15" s="24">
        <v>1.3</v>
      </c>
      <c r="BH15" s="24">
        <v>1</v>
      </c>
      <c r="BI15" s="24"/>
      <c r="BJ15" s="24">
        <v>1</v>
      </c>
      <c r="BK15" s="24">
        <v>1</v>
      </c>
      <c r="BL15" s="24">
        <v>1</v>
      </c>
      <c r="BM15" s="24">
        <v>1</v>
      </c>
      <c r="BN15" s="24">
        <v>1</v>
      </c>
      <c r="BO15" s="24">
        <v>1.3</v>
      </c>
      <c r="BP15" s="24">
        <v>1.3</v>
      </c>
      <c r="BQ15" s="24">
        <v>1.3</v>
      </c>
      <c r="BR15" s="24"/>
      <c r="BS15" s="24"/>
      <c r="BT15" s="24">
        <v>1</v>
      </c>
      <c r="BU15" s="24">
        <v>1</v>
      </c>
      <c r="BV15" s="24">
        <v>1.3</v>
      </c>
      <c r="BW15" s="24">
        <v>1.3</v>
      </c>
      <c r="BX15" s="24">
        <v>1.3</v>
      </c>
      <c r="BY15" s="24">
        <v>1.3</v>
      </c>
      <c r="BZ15" s="24">
        <v>1.3</v>
      </c>
      <c r="CA15" s="24"/>
      <c r="CB15" s="24">
        <v>1.3</v>
      </c>
      <c r="CC15" s="24">
        <v>1</v>
      </c>
      <c r="CD15" s="24">
        <v>1.3</v>
      </c>
      <c r="CE15" s="24">
        <v>1.3</v>
      </c>
      <c r="CF15" s="24">
        <v>1.3</v>
      </c>
      <c r="CG15" s="24"/>
      <c r="CH15" s="24">
        <v>1.3</v>
      </c>
      <c r="CI15" s="24"/>
      <c r="CJ15" s="24"/>
      <c r="CK15" s="24">
        <v>1</v>
      </c>
      <c r="CL15" s="24"/>
      <c r="CM15" s="24">
        <v>1.3</v>
      </c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3">
        <f>SUMPRODUCT(Table4623[[#This Row],[1]:[100]],$F$2:$DA$2)</f>
        <v>660.90796703296735</v>
      </c>
      <c r="DC15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26.400000000000006</v>
      </c>
      <c r="DD15" s="26"/>
    </row>
    <row r="16" spans="1:108" outlineLevel="1" x14ac:dyDescent="0.25">
      <c r="A16" s="4">
        <v>12</v>
      </c>
      <c r="B16" s="22" t="s">
        <v>239</v>
      </c>
      <c r="C16" s="22" t="s">
        <v>240</v>
      </c>
      <c r="D16" s="22" t="s">
        <v>346</v>
      </c>
      <c r="E16" s="22" t="s">
        <v>350</v>
      </c>
      <c r="F16" s="22">
        <v>1.3</v>
      </c>
      <c r="G16" s="22"/>
      <c r="H16" s="22"/>
      <c r="I16" s="22">
        <v>1.3</v>
      </c>
      <c r="J16" s="22">
        <v>1.3</v>
      </c>
      <c r="K16" s="22"/>
      <c r="L16" s="22">
        <v>1.3</v>
      </c>
      <c r="M16" s="22"/>
      <c r="N16" s="22">
        <v>1.3</v>
      </c>
      <c r="O16" s="22">
        <v>1.3</v>
      </c>
      <c r="P16" s="22">
        <v>1.3</v>
      </c>
      <c r="Q16" s="22">
        <v>1.3</v>
      </c>
      <c r="R16" s="22">
        <v>1.3</v>
      </c>
      <c r="S16" s="22">
        <v>1.3</v>
      </c>
      <c r="T16" s="22">
        <v>1.3</v>
      </c>
      <c r="U16" s="22">
        <v>1.3</v>
      </c>
      <c r="V16" s="22">
        <v>1.3</v>
      </c>
      <c r="W16" s="22">
        <v>1.3</v>
      </c>
      <c r="X16" s="22">
        <v>1.3</v>
      </c>
      <c r="Y16" s="22">
        <v>1</v>
      </c>
      <c r="Z16" s="22">
        <v>1</v>
      </c>
      <c r="AA16" s="22"/>
      <c r="AB16" s="22">
        <v>1</v>
      </c>
      <c r="AC16" s="22"/>
      <c r="AD16" s="22"/>
      <c r="AE16" s="22"/>
      <c r="AF16" s="22">
        <v>1.3</v>
      </c>
      <c r="AG16" s="22"/>
      <c r="AH16" s="22"/>
      <c r="AI16" s="22">
        <v>1.3</v>
      </c>
      <c r="AJ16" s="22">
        <v>1.3</v>
      </c>
      <c r="AK16" s="22">
        <v>1.3</v>
      </c>
      <c r="AL16" s="22">
        <v>1</v>
      </c>
      <c r="AM16" s="22">
        <v>1.3</v>
      </c>
      <c r="AN16" s="22">
        <v>1.3</v>
      </c>
      <c r="AO16" s="22">
        <v>1.3</v>
      </c>
      <c r="AP16" s="22">
        <v>1.3</v>
      </c>
      <c r="AQ16" s="22"/>
      <c r="AR16" s="22">
        <v>1.3</v>
      </c>
      <c r="AS16" s="22">
        <v>1.3</v>
      </c>
      <c r="AT16" s="22">
        <v>1.3</v>
      </c>
      <c r="AU16" s="22">
        <v>1.3</v>
      </c>
      <c r="AV16" s="22">
        <v>1.3</v>
      </c>
      <c r="AW16" s="22">
        <v>1.3</v>
      </c>
      <c r="AX16" s="22">
        <v>1.3</v>
      </c>
      <c r="AY16" s="22">
        <v>1.3</v>
      </c>
      <c r="AZ16" s="22">
        <v>1.3</v>
      </c>
      <c r="BA16" s="22">
        <v>1.3</v>
      </c>
      <c r="BB16" s="22">
        <v>1.3</v>
      </c>
      <c r="BC16" s="22">
        <v>1.3</v>
      </c>
      <c r="BD16" s="22">
        <v>1.3</v>
      </c>
      <c r="BE16" s="22">
        <v>1.3</v>
      </c>
      <c r="BF16" s="22"/>
      <c r="BG16" s="22">
        <v>1.3</v>
      </c>
      <c r="BH16" s="22"/>
      <c r="BI16" s="22"/>
      <c r="BJ16" s="22">
        <v>1.3</v>
      </c>
      <c r="BK16" s="22"/>
      <c r="BL16" s="22"/>
      <c r="BM16" s="22">
        <v>1</v>
      </c>
      <c r="BN16" s="22"/>
      <c r="BO16" s="22"/>
      <c r="BP16" s="22">
        <v>1</v>
      </c>
      <c r="BQ16" s="22">
        <v>1.3</v>
      </c>
      <c r="BR16" s="22"/>
      <c r="BS16" s="22">
        <v>1</v>
      </c>
      <c r="BT16" s="22">
        <v>1</v>
      </c>
      <c r="BU16" s="22"/>
      <c r="BV16" s="22">
        <v>1.3</v>
      </c>
      <c r="BW16" s="22">
        <v>1</v>
      </c>
      <c r="BX16" s="22">
        <v>1</v>
      </c>
      <c r="BY16" s="22">
        <v>1.3</v>
      </c>
      <c r="BZ16" s="22">
        <v>1</v>
      </c>
      <c r="CA16" s="22">
        <v>1</v>
      </c>
      <c r="CB16" s="22">
        <v>1.3</v>
      </c>
      <c r="CC16" s="22">
        <v>1.3</v>
      </c>
      <c r="CD16" s="22"/>
      <c r="CE16" s="22">
        <v>1</v>
      </c>
      <c r="CF16" s="22"/>
      <c r="CG16" s="22"/>
      <c r="CH16" s="22"/>
      <c r="CI16" s="22">
        <v>1</v>
      </c>
      <c r="CJ16" s="22"/>
      <c r="CK16" s="22">
        <v>1.3</v>
      </c>
      <c r="CL16" s="22"/>
      <c r="CM16" s="22">
        <v>1</v>
      </c>
      <c r="CN16" s="22"/>
      <c r="CO16" s="22"/>
      <c r="CP16" s="22"/>
      <c r="CQ16" s="22">
        <v>1</v>
      </c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3">
        <f>SUMPRODUCT(Table4623[[#This Row],[1]:[100]],$F$2:$DA$2)</f>
        <v>528.11786824286798</v>
      </c>
      <c r="DC16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28.100000000000005</v>
      </c>
      <c r="DD16" s="26"/>
    </row>
    <row r="17" spans="1:108" outlineLevel="1" x14ac:dyDescent="0.25">
      <c r="A17" s="4">
        <v>13</v>
      </c>
      <c r="B17" s="22" t="s">
        <v>187</v>
      </c>
      <c r="C17" s="22" t="s">
        <v>188</v>
      </c>
      <c r="D17" s="22" t="s">
        <v>317</v>
      </c>
      <c r="E17" s="22" t="s">
        <v>189</v>
      </c>
      <c r="F17" s="22">
        <v>1.3</v>
      </c>
      <c r="G17" s="22">
        <v>1.3</v>
      </c>
      <c r="H17" s="22">
        <v>1.3</v>
      </c>
      <c r="I17" s="22">
        <v>1.3</v>
      </c>
      <c r="J17" s="22">
        <v>1.3</v>
      </c>
      <c r="K17" s="22">
        <v>1.3</v>
      </c>
      <c r="L17" s="22">
        <v>1.3</v>
      </c>
      <c r="M17" s="22">
        <v>1</v>
      </c>
      <c r="N17" s="22">
        <v>1.3</v>
      </c>
      <c r="O17" s="22">
        <v>1.3</v>
      </c>
      <c r="P17" s="22">
        <v>1</v>
      </c>
      <c r="Q17" s="22">
        <v>1.3</v>
      </c>
      <c r="R17" s="22">
        <v>1.3</v>
      </c>
      <c r="S17" s="22">
        <v>1.3</v>
      </c>
      <c r="T17" s="22">
        <v>1.3</v>
      </c>
      <c r="U17" s="22">
        <v>1.3</v>
      </c>
      <c r="V17" s="22"/>
      <c r="W17" s="22">
        <v>1.3</v>
      </c>
      <c r="X17" s="22">
        <v>1.3</v>
      </c>
      <c r="Y17" s="22">
        <v>1.3</v>
      </c>
      <c r="Z17" s="22">
        <v>1.3</v>
      </c>
      <c r="AA17" s="22"/>
      <c r="AB17" s="22">
        <v>1</v>
      </c>
      <c r="AC17" s="22">
        <v>1.3</v>
      </c>
      <c r="AD17" s="22"/>
      <c r="AE17" s="22"/>
      <c r="AF17" s="22">
        <v>1</v>
      </c>
      <c r="AG17" s="22">
        <v>1</v>
      </c>
      <c r="AH17" s="22">
        <v>1.3</v>
      </c>
      <c r="AI17" s="22">
        <v>1.3</v>
      </c>
      <c r="AJ17" s="22">
        <v>1</v>
      </c>
      <c r="AK17" s="22">
        <v>1</v>
      </c>
      <c r="AL17" s="22"/>
      <c r="AM17" s="22">
        <v>1.3</v>
      </c>
      <c r="AN17" s="22">
        <v>1.3</v>
      </c>
      <c r="AO17" s="22">
        <v>1</v>
      </c>
      <c r="AP17" s="22">
        <v>1.3</v>
      </c>
      <c r="AQ17" s="22">
        <v>1</v>
      </c>
      <c r="AR17" s="22">
        <v>1.3</v>
      </c>
      <c r="AS17" s="22">
        <v>1.3</v>
      </c>
      <c r="AT17" s="22">
        <v>1.3</v>
      </c>
      <c r="AU17" s="22">
        <v>1.3</v>
      </c>
      <c r="AV17" s="22">
        <v>1.3</v>
      </c>
      <c r="AW17" s="22">
        <v>1.3</v>
      </c>
      <c r="AX17" s="22">
        <v>1.3</v>
      </c>
      <c r="AY17" s="22">
        <v>1.3</v>
      </c>
      <c r="AZ17" s="22">
        <v>1.3</v>
      </c>
      <c r="BA17" s="22">
        <v>1.3</v>
      </c>
      <c r="BB17" s="22">
        <v>1.3</v>
      </c>
      <c r="BC17" s="22">
        <v>1.3</v>
      </c>
      <c r="BD17" s="22">
        <v>1.3</v>
      </c>
      <c r="BE17" s="22">
        <v>1.3</v>
      </c>
      <c r="BF17" s="22"/>
      <c r="BG17" s="22">
        <v>1.3</v>
      </c>
      <c r="BH17" s="22">
        <v>1</v>
      </c>
      <c r="BI17" s="22"/>
      <c r="BJ17" s="22">
        <v>1</v>
      </c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>
        <v>1</v>
      </c>
      <c r="BX17" s="22">
        <v>1</v>
      </c>
      <c r="BY17" s="22">
        <v>1</v>
      </c>
      <c r="BZ17" s="22"/>
      <c r="CA17" s="22"/>
      <c r="CB17" s="22">
        <v>1.3</v>
      </c>
      <c r="CC17" s="22">
        <v>1</v>
      </c>
      <c r="CD17" s="22">
        <v>1</v>
      </c>
      <c r="CE17" s="22">
        <v>1</v>
      </c>
      <c r="CF17" s="22">
        <v>1</v>
      </c>
      <c r="CG17" s="22"/>
      <c r="CH17" s="22">
        <v>1</v>
      </c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3">
        <f>SUMPRODUCT(Table4623[[#This Row],[1]:[100]],$F$2:$DA$2)</f>
        <v>487.44917582417577</v>
      </c>
      <c r="DC17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19.000000000000004</v>
      </c>
      <c r="DD17" s="26"/>
    </row>
    <row r="18" spans="1:108" outlineLevel="1" x14ac:dyDescent="0.25">
      <c r="A18" s="5">
        <v>14</v>
      </c>
      <c r="B18" s="22" t="s">
        <v>305</v>
      </c>
      <c r="C18" s="22" t="s">
        <v>306</v>
      </c>
      <c r="D18" s="22" t="s">
        <v>117</v>
      </c>
      <c r="E18" s="22" t="s">
        <v>231</v>
      </c>
      <c r="F18" s="22">
        <v>1.3</v>
      </c>
      <c r="G18" s="22">
        <v>1.3</v>
      </c>
      <c r="H18" s="22">
        <v>1.3</v>
      </c>
      <c r="I18" s="22">
        <v>1.3</v>
      </c>
      <c r="J18" s="22">
        <v>1.3</v>
      </c>
      <c r="K18" s="22"/>
      <c r="L18" s="22">
        <v>1.3</v>
      </c>
      <c r="M18" s="22">
        <v>1</v>
      </c>
      <c r="N18" s="22">
        <v>1.3</v>
      </c>
      <c r="O18" s="22">
        <v>1.3</v>
      </c>
      <c r="P18" s="22">
        <v>1.3</v>
      </c>
      <c r="Q18" s="22">
        <v>1.3</v>
      </c>
      <c r="R18" s="22">
        <v>1.3</v>
      </c>
      <c r="S18" s="22">
        <v>1.3</v>
      </c>
      <c r="T18" s="22">
        <v>1.3</v>
      </c>
      <c r="U18" s="22">
        <v>1.3</v>
      </c>
      <c r="V18" s="22">
        <v>1.3</v>
      </c>
      <c r="W18" s="22">
        <v>1.3</v>
      </c>
      <c r="X18" s="22">
        <v>1.3</v>
      </c>
      <c r="Y18" s="22">
        <v>1</v>
      </c>
      <c r="Z18" s="22">
        <v>1.3</v>
      </c>
      <c r="AA18" s="22"/>
      <c r="AB18" s="22"/>
      <c r="AC18" s="22"/>
      <c r="AD18" s="22"/>
      <c r="AE18" s="22"/>
      <c r="AF18" s="22">
        <v>1</v>
      </c>
      <c r="AG18" s="22"/>
      <c r="AH18" s="22">
        <v>1</v>
      </c>
      <c r="AI18" s="22">
        <v>1.3</v>
      </c>
      <c r="AJ18" s="22"/>
      <c r="AK18" s="22"/>
      <c r="AL18" s="22"/>
      <c r="AM18" s="22">
        <v>1.3</v>
      </c>
      <c r="AN18" s="22">
        <v>1.3</v>
      </c>
      <c r="AO18" s="22">
        <v>1.3</v>
      </c>
      <c r="AP18" s="22">
        <v>1.3</v>
      </c>
      <c r="AQ18" s="22">
        <v>1.3</v>
      </c>
      <c r="AR18" s="22">
        <v>1.3</v>
      </c>
      <c r="AS18" s="22">
        <v>1.3</v>
      </c>
      <c r="AT18" s="22"/>
      <c r="AU18" s="22">
        <v>1.3</v>
      </c>
      <c r="AV18" s="22"/>
      <c r="AW18" s="22">
        <v>1.3</v>
      </c>
      <c r="AX18" s="22">
        <v>1.3</v>
      </c>
      <c r="AY18" s="22">
        <v>1.3</v>
      </c>
      <c r="AZ18" s="22">
        <v>1.3</v>
      </c>
      <c r="BA18" s="22">
        <v>1.3</v>
      </c>
      <c r="BB18" s="22">
        <v>1.3</v>
      </c>
      <c r="BC18" s="22"/>
      <c r="BD18" s="22">
        <v>1.3</v>
      </c>
      <c r="BE18" s="22">
        <v>1.3</v>
      </c>
      <c r="BF18" s="22"/>
      <c r="BG18" s="22">
        <v>1.3</v>
      </c>
      <c r="BH18" s="22"/>
      <c r="BI18" s="22"/>
      <c r="BJ18" s="22"/>
      <c r="BK18" s="22"/>
      <c r="BL18" s="22"/>
      <c r="BM18" s="22"/>
      <c r="BN18" s="22"/>
      <c r="BO18" s="22"/>
      <c r="BP18" s="22"/>
      <c r="BQ18" s="22">
        <v>1.3</v>
      </c>
      <c r="BR18" s="22"/>
      <c r="BS18" s="22"/>
      <c r="BT18" s="22">
        <v>1.3</v>
      </c>
      <c r="BU18" s="22"/>
      <c r="BV18" s="22"/>
      <c r="BW18" s="22"/>
      <c r="BX18" s="22"/>
      <c r="BY18" s="22">
        <v>1.3</v>
      </c>
      <c r="BZ18" s="22">
        <v>1.3</v>
      </c>
      <c r="CA18" s="22"/>
      <c r="CB18" s="22">
        <v>1</v>
      </c>
      <c r="CC18" s="22"/>
      <c r="CD18" s="22"/>
      <c r="CE18" s="22">
        <v>1</v>
      </c>
      <c r="CF18" s="22">
        <v>1</v>
      </c>
      <c r="CG18" s="22"/>
      <c r="CH18" s="22">
        <v>1</v>
      </c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3">
        <f>SUMPRODUCT(Table4623[[#This Row],[1]:[100]],$F$2:$DA$2)</f>
        <v>401.43406593406587</v>
      </c>
      <c r="DC18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17.900000000000002</v>
      </c>
      <c r="DD18" s="26"/>
    </row>
    <row r="19" spans="1:108" outlineLevel="1" x14ac:dyDescent="0.25">
      <c r="A19" s="4">
        <v>15</v>
      </c>
      <c r="B19" s="22" t="s">
        <v>140</v>
      </c>
      <c r="C19" s="22" t="s">
        <v>141</v>
      </c>
      <c r="D19" s="22" t="s">
        <v>346</v>
      </c>
      <c r="E19" s="22" t="s">
        <v>349</v>
      </c>
      <c r="F19" s="22"/>
      <c r="G19" s="22"/>
      <c r="H19" s="22">
        <v>1.3</v>
      </c>
      <c r="I19" s="22">
        <v>1.3</v>
      </c>
      <c r="J19" s="22">
        <v>1.3</v>
      </c>
      <c r="K19" s="22">
        <v>1</v>
      </c>
      <c r="L19" s="22">
        <v>1.3</v>
      </c>
      <c r="M19" s="22"/>
      <c r="N19" s="22">
        <v>1.3</v>
      </c>
      <c r="O19" s="22">
        <v>1</v>
      </c>
      <c r="P19" s="22">
        <v>1.3</v>
      </c>
      <c r="Q19" s="22">
        <v>1.3</v>
      </c>
      <c r="R19" s="22">
        <v>1.3</v>
      </c>
      <c r="S19" s="22">
        <v>1</v>
      </c>
      <c r="T19" s="22">
        <v>1.3</v>
      </c>
      <c r="U19" s="22">
        <v>1.3</v>
      </c>
      <c r="V19" s="22">
        <v>1.3</v>
      </c>
      <c r="W19" s="22">
        <v>1.3</v>
      </c>
      <c r="X19" s="22">
        <v>1.3</v>
      </c>
      <c r="Y19" s="22">
        <v>1.3</v>
      </c>
      <c r="Z19" s="22"/>
      <c r="AA19" s="22"/>
      <c r="AB19" s="22"/>
      <c r="AC19" s="22"/>
      <c r="AD19" s="22"/>
      <c r="AE19" s="22"/>
      <c r="AF19" s="22">
        <v>1.3</v>
      </c>
      <c r="AG19" s="22"/>
      <c r="AH19" s="22">
        <v>1</v>
      </c>
      <c r="AI19" s="22">
        <v>1</v>
      </c>
      <c r="AJ19" s="22"/>
      <c r="AK19" s="22">
        <v>1</v>
      </c>
      <c r="AL19" s="22"/>
      <c r="AM19" s="22"/>
      <c r="AN19" s="22">
        <v>1.3</v>
      </c>
      <c r="AO19" s="22">
        <v>1.3</v>
      </c>
      <c r="AP19" s="22">
        <v>1</v>
      </c>
      <c r="AQ19" s="22">
        <v>1</v>
      </c>
      <c r="AR19" s="22">
        <v>1.3</v>
      </c>
      <c r="AS19" s="22">
        <v>1.3</v>
      </c>
      <c r="AT19" s="22"/>
      <c r="AU19" s="22">
        <v>1.3</v>
      </c>
      <c r="AV19" s="22">
        <v>1.3</v>
      </c>
      <c r="AW19" s="22">
        <v>1.3</v>
      </c>
      <c r="AX19" s="22"/>
      <c r="AY19" s="22">
        <v>1</v>
      </c>
      <c r="AZ19" s="22"/>
      <c r="BA19" s="22"/>
      <c r="BB19" s="22">
        <v>1.3</v>
      </c>
      <c r="BC19" s="22"/>
      <c r="BD19" s="22">
        <v>1.3</v>
      </c>
      <c r="BE19" s="22">
        <v>1.3</v>
      </c>
      <c r="BF19" s="22"/>
      <c r="BG19" s="22">
        <v>1</v>
      </c>
      <c r="BH19" s="22">
        <v>1</v>
      </c>
      <c r="BI19" s="22"/>
      <c r="BJ19" s="22"/>
      <c r="BK19" s="22"/>
      <c r="BL19" s="22"/>
      <c r="BM19" s="22"/>
      <c r="BN19" s="22"/>
      <c r="BO19" s="22"/>
      <c r="BP19" s="22"/>
      <c r="BQ19" s="22">
        <v>1</v>
      </c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>
        <v>1</v>
      </c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3">
        <f>SUMPRODUCT(Table4623[[#This Row],[1]:[100]],$F$2:$DA$2)</f>
        <v>295.04166666666669</v>
      </c>
      <c r="DC19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16.000000000000004</v>
      </c>
      <c r="DD19" s="26"/>
    </row>
    <row r="20" spans="1:108" outlineLevel="1" x14ac:dyDescent="0.25">
      <c r="A20" s="4">
        <v>16</v>
      </c>
      <c r="B20" s="25" t="s">
        <v>155</v>
      </c>
      <c r="C20" s="25" t="s">
        <v>249</v>
      </c>
      <c r="D20" s="25" t="s">
        <v>346</v>
      </c>
      <c r="E20" s="22" t="s">
        <v>256</v>
      </c>
      <c r="F20" s="22">
        <v>1.3</v>
      </c>
      <c r="G20" s="22">
        <v>1.3</v>
      </c>
      <c r="H20" s="22">
        <v>1.3</v>
      </c>
      <c r="I20" s="22">
        <v>1.3</v>
      </c>
      <c r="J20" s="22">
        <v>1.3</v>
      </c>
      <c r="K20" s="22">
        <v>1.3</v>
      </c>
      <c r="L20" s="22">
        <v>1.3</v>
      </c>
      <c r="M20" s="22"/>
      <c r="N20" s="22"/>
      <c r="O20" s="22">
        <v>1.3</v>
      </c>
      <c r="P20" s="22">
        <v>1.3</v>
      </c>
      <c r="Q20" s="22">
        <v>1.3</v>
      </c>
      <c r="R20" s="22">
        <v>1.3</v>
      </c>
      <c r="S20" s="22">
        <v>1.3</v>
      </c>
      <c r="T20" s="22">
        <v>1.3</v>
      </c>
      <c r="U20" s="22">
        <v>1.3</v>
      </c>
      <c r="V20" s="22">
        <v>1.3</v>
      </c>
      <c r="W20" s="22">
        <v>1.3</v>
      </c>
      <c r="X20" s="22">
        <v>1.3</v>
      </c>
      <c r="Y20" s="22">
        <v>1</v>
      </c>
      <c r="Z20" s="22"/>
      <c r="AA20" s="22"/>
      <c r="AB20" s="22"/>
      <c r="AC20" s="22"/>
      <c r="AD20" s="22"/>
      <c r="AE20" s="22"/>
      <c r="AF20" s="22">
        <v>1.3</v>
      </c>
      <c r="AG20" s="22"/>
      <c r="AH20" s="22"/>
      <c r="AI20" s="22">
        <v>1.3</v>
      </c>
      <c r="AJ20" s="22"/>
      <c r="AK20" s="22">
        <v>1.3</v>
      </c>
      <c r="AL20" s="22"/>
      <c r="AM20" s="22"/>
      <c r="AN20" s="22"/>
      <c r="AO20" s="22">
        <v>1.3</v>
      </c>
      <c r="AP20" s="22">
        <v>1.3</v>
      </c>
      <c r="AQ20" s="22"/>
      <c r="AR20" s="22">
        <v>1.3</v>
      </c>
      <c r="AS20" s="22">
        <v>1.3</v>
      </c>
      <c r="AT20" s="22"/>
      <c r="AU20" s="22"/>
      <c r="AV20" s="22"/>
      <c r="AW20" s="22"/>
      <c r="AX20" s="22"/>
      <c r="AY20" s="22"/>
      <c r="AZ20" s="22"/>
      <c r="BA20" s="22"/>
      <c r="BB20" s="22">
        <v>1.3</v>
      </c>
      <c r="BC20" s="22"/>
      <c r="BD20" s="22"/>
      <c r="BE20" s="22">
        <v>1.3</v>
      </c>
      <c r="BF20" s="22"/>
      <c r="BG20" s="22">
        <v>1.3</v>
      </c>
      <c r="BH20" s="22">
        <v>1.3</v>
      </c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3">
        <f>SUMPRODUCT(Table4623[[#This Row],[1]:[100]],$F$2:$DA$2)</f>
        <v>239.39880952380949</v>
      </c>
      <c r="DC20" s="16">
        <f>SUM(Table4623[[#This Row],[4]],Table4623[[#This Row],[9]],Table4623[[#This Row],[17]:[19]],Table4623[[#This Row],[32]],Table4623[[#This Row],[35]],Table4623[[#This Row],[38]:[40]],Table4623[[#This Row],[44]],Table4623[[#This Row],[51]],Table4623[[#This Row],[53]],Table4623[[#This Row],[56]:[57]],Table4623[[#This Row],[60]],Table4623[[#This Row],[62]],Table4623[[#This Row],[64]],Table4623[[#This Row],[66]],Table4623[[#This Row],[69]],Table4623[[#This Row],[71]:[72]],Table4623[[#This Row],[74]:[76]],Table4623[[#This Row],[82]],Table4623[[#This Row],[87]],Table4623[[#This Row],[90]],Table4623[[#This Row],[93]],Table4623[[#This Row],[96]],Table4623[[#This Row],[100]])</f>
        <v>9.1</v>
      </c>
      <c r="DD20" s="26"/>
    </row>
    <row r="21" spans="1:108" x14ac:dyDescent="0.25"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</row>
  </sheetData>
  <mergeCells count="1">
    <mergeCell ref="A2:E2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D70"/>
  <sheetViews>
    <sheetView topLeftCell="A4" zoomScale="80" zoomScaleNormal="80" workbookViewId="0">
      <selection activeCell="C16" sqref="C16"/>
    </sheetView>
  </sheetViews>
  <sheetFormatPr defaultRowHeight="15" outlineLevelRow="1" outlineLevelCol="1" x14ac:dyDescent="0.25"/>
  <cols>
    <col min="1" max="1" width="8.7109375" bestFit="1" customWidth="1"/>
    <col min="2" max="2" width="14.5703125" bestFit="1" customWidth="1"/>
    <col min="3" max="3" width="15.140625" bestFit="1" customWidth="1"/>
    <col min="4" max="4" width="10.140625" bestFit="1" customWidth="1"/>
    <col min="5" max="5" width="17.42578125" bestFit="1" customWidth="1"/>
    <col min="6" max="14" width="4.140625" hidden="1" customWidth="1" outlineLevel="1"/>
    <col min="15" max="105" width="5.140625" hidden="1" customWidth="1" outlineLevel="1"/>
    <col min="106" max="106" width="9.140625" collapsed="1"/>
    <col min="107" max="107" width="9.140625" hidden="1" customWidth="1" outlineLevel="1"/>
    <col min="108" max="108" width="9.140625" collapsed="1"/>
  </cols>
  <sheetData>
    <row r="1" spans="1:107" outlineLevel="1" x14ac:dyDescent="0.25">
      <c r="A1" t="s">
        <v>7</v>
      </c>
      <c r="B1">
        <v>100</v>
      </c>
    </row>
    <row r="2" spans="1:107" outlineLevel="1" x14ac:dyDescent="0.25">
      <c r="A2" s="34" t="s">
        <v>34</v>
      </c>
      <c r="B2" s="34"/>
      <c r="C2" s="34"/>
      <c r="D2" s="34"/>
      <c r="E2" s="34"/>
      <c r="F2" s="30">
        <f>IFERROR($B$1/COUNT(Table462[1]),0)</f>
        <v>1.7543859649122806</v>
      </c>
      <c r="G2" s="30">
        <f>IFERROR($B$1/COUNT(Table462[2]),0)</f>
        <v>1.7543859649122806</v>
      </c>
      <c r="H2" s="30">
        <f>IFERROR($B$1/COUNT(Table462[3]),0)</f>
        <v>1.6949152542372881</v>
      </c>
      <c r="I2" s="30">
        <f>IFERROR($B$1/COUNT(Table462[4]),0)</f>
        <v>1.7241379310344827</v>
      </c>
      <c r="J2" s="30">
        <f>IFERROR($B$1/COUNT(Table462[5]),0)</f>
        <v>1.7241379310344827</v>
      </c>
      <c r="K2" s="30">
        <f>IFERROR($B$1/COUNT(Table462[6]),0)</f>
        <v>1.7857142857142858</v>
      </c>
      <c r="L2" s="30">
        <f>IFERROR($B$1/COUNT(Table462[7]),0)</f>
        <v>1.7241379310344827</v>
      </c>
      <c r="M2" s="30">
        <f>IFERROR($B$1/COUNT(Table462[8]),0)</f>
        <v>3.225806451612903</v>
      </c>
      <c r="N2" s="30">
        <f>IFERROR($B$1/COUNT(Table462[9]),0)</f>
        <v>2.7777777777777777</v>
      </c>
      <c r="O2" s="30">
        <f>IFERROR($B$1/COUNT(Table462[10]),0)</f>
        <v>1.7543859649122806</v>
      </c>
      <c r="P2" s="30">
        <f>IFERROR($B$1/COUNT(Table462[11]),0)</f>
        <v>2.0408163265306123</v>
      </c>
      <c r="Q2" s="30">
        <f>IFERROR($B$1/COUNT(Table462[12]),0)</f>
        <v>1.7857142857142858</v>
      </c>
      <c r="R2" s="30">
        <f>IFERROR($B$1/COUNT(Table462[13]),0)</f>
        <v>1.8518518518518519</v>
      </c>
      <c r="S2" s="30">
        <f>IFERROR($B$1/COUNT(Table462[14]),0)</f>
        <v>2.0408163265306123</v>
      </c>
      <c r="T2" s="30">
        <f>IFERROR($B$1/COUNT(Table462[15]),0)</f>
        <v>1.7241379310344827</v>
      </c>
      <c r="U2" s="30">
        <f>IFERROR($B$1/COUNT(Table462[16]),0)</f>
        <v>1.6949152542372881</v>
      </c>
      <c r="V2" s="30">
        <f>IFERROR($B$1/COUNT(Table462[17]),0)</f>
        <v>2.1739130434782608</v>
      </c>
      <c r="W2" s="30">
        <f>IFERROR($B$1/COUNT(Table462[18]),0)</f>
        <v>1.7241379310344827</v>
      </c>
      <c r="X2" s="30">
        <f>IFERROR($B$1/COUNT(Table462[19]),0)</f>
        <v>1.6666666666666667</v>
      </c>
      <c r="Y2" s="30">
        <f>IFERROR($B$1/COUNT(Table462[20]),0)</f>
        <v>3.5714285714285716</v>
      </c>
      <c r="Z2" s="30">
        <f>IFERROR($B$1/COUNT(Table462[21]),0)</f>
        <v>2.9411764705882355</v>
      </c>
      <c r="AA2" s="30">
        <f>IFERROR($B$1/COUNT(Table462[22]),0)</f>
        <v>16.666666666666668</v>
      </c>
      <c r="AB2">
        <f>IFERROR($B$1/COUNT(Table462[23]),0)</f>
        <v>3.7037037037037037</v>
      </c>
      <c r="AC2">
        <f>IFERROR($B$1/COUNT(Table462[24]),0)</f>
        <v>3.225806451612903</v>
      </c>
      <c r="AD2">
        <f>IFERROR($B$1/COUNT(Table462[25]),0)</f>
        <v>12.5</v>
      </c>
      <c r="AE2">
        <f>IFERROR($B$1/COUNT(Table462[26]),0)</f>
        <v>12.5</v>
      </c>
      <c r="AF2">
        <f>IFERROR($B$1/COUNT(Table462[27]),0)</f>
        <v>2.5</v>
      </c>
      <c r="AG2">
        <f>IFERROR($B$1/COUNT(Table462[28]),0)</f>
        <v>5.2631578947368425</v>
      </c>
      <c r="AH2">
        <f>IFERROR($B$1/COUNT(Table462[29]),0)</f>
        <v>4.166666666666667</v>
      </c>
      <c r="AI2">
        <f>IFERROR($B$1/COUNT(Table462[30]),0)</f>
        <v>2.2727272727272729</v>
      </c>
      <c r="AJ2">
        <f>IFERROR($B$1/COUNT(Table462[31]),0)</f>
        <v>6.666666666666667</v>
      </c>
      <c r="AK2">
        <f>IFERROR($B$1/COUNT(Table462[32]),0)</f>
        <v>2.3255813953488373</v>
      </c>
      <c r="AL2">
        <f>IFERROR($B$1/COUNT(Table462[33]),0)</f>
        <v>7.6923076923076925</v>
      </c>
      <c r="AM2">
        <f>IFERROR($B$1/COUNT(Table462[34]),0)</f>
        <v>3.4482758620689653</v>
      </c>
      <c r="AN2">
        <f>IFERROR($B$1/COUNT(Table462[35]),0)</f>
        <v>2.6315789473684212</v>
      </c>
      <c r="AO2">
        <f>IFERROR($B$1/COUNT(Table462[36]),0)</f>
        <v>4.5454545454545459</v>
      </c>
      <c r="AP2">
        <f>IFERROR($B$1/COUNT(Table462[37]),0)</f>
        <v>2.3255813953488373</v>
      </c>
      <c r="AQ2">
        <f>IFERROR($B$1/COUNT(Table462[38]),0)</f>
        <v>3.7037037037037037</v>
      </c>
      <c r="AR2">
        <f>IFERROR($B$1/COUNT(Table462[39]),0)</f>
        <v>2.3809523809523809</v>
      </c>
      <c r="AS2">
        <f>IFERROR($B$1/COUNT(Table462[40]),0)</f>
        <v>2.3809523809523809</v>
      </c>
      <c r="AT2">
        <f>IFERROR($B$1/COUNT(Table462[41]),0)</f>
        <v>4.7619047619047619</v>
      </c>
      <c r="AU2">
        <f>IFERROR($B$1/COUNT(Table462[42]),0)</f>
        <v>2.3809523809523809</v>
      </c>
      <c r="AV2">
        <f>IFERROR($B$1/COUNT(Table462[43]),0)</f>
        <v>2.9411764705882355</v>
      </c>
      <c r="AW2">
        <f>IFERROR($B$1/COUNT(Table462[44]),0)</f>
        <v>2.7777777777777777</v>
      </c>
      <c r="AX2">
        <f>IFERROR($B$1/COUNT(Table462[45]),0)</f>
        <v>9.0909090909090917</v>
      </c>
      <c r="AY2">
        <f>IFERROR($B$1/COUNT(Table462[46]),0)</f>
        <v>2.5</v>
      </c>
      <c r="AZ2">
        <f>IFERROR($B$1/COUNT(Table462[47]),0)</f>
        <v>3.3333333333333335</v>
      </c>
      <c r="BA2">
        <f>IFERROR($B$1/COUNT(Table462[48]),0)</f>
        <v>3.4482758620689653</v>
      </c>
      <c r="BB2">
        <f>IFERROR($B$1/COUNT(Table462[49]),0)</f>
        <v>2.2727272727272729</v>
      </c>
      <c r="BC2">
        <f>IFERROR($B$1/COUNT(Table462[50]),0)</f>
        <v>8.3333333333333339</v>
      </c>
      <c r="BD2">
        <f>IFERROR($B$1/COUNT(Table462[51]),0)</f>
        <v>2.0833333333333335</v>
      </c>
      <c r="BE2">
        <f>IFERROR($B$1/COUNT(Table462[52]),0)</f>
        <v>1.9230769230769231</v>
      </c>
      <c r="BF2">
        <f>IFERROR($B$1/COUNT(Table462[53]),0)</f>
        <v>25</v>
      </c>
      <c r="BG2">
        <f>IFERROR($B$1/COUNT(Table462[54]),0)</f>
        <v>2.8571428571428572</v>
      </c>
      <c r="BH2">
        <f>IFERROR($B$1/COUNT(Table462[55]),0)</f>
        <v>5.5555555555555554</v>
      </c>
      <c r="BI2">
        <f>IFERROR($B$1/COUNT(Table462[56]),0)</f>
        <v>100</v>
      </c>
      <c r="BJ2">
        <f>IFERROR($B$1/COUNT(Table462[57]),0)</f>
        <v>3.8461538461538463</v>
      </c>
      <c r="BK2">
        <f>IFERROR($B$1/COUNT(Table462[58]),0)</f>
        <v>25</v>
      </c>
      <c r="BL2">
        <f>IFERROR($B$1/COUNT(Table462[59]),0)</f>
        <v>20</v>
      </c>
      <c r="BM2">
        <f>IFERROR($B$1/COUNT(Table462[60]),0)</f>
        <v>16.666666666666668</v>
      </c>
      <c r="BN2">
        <f>IFERROR($B$1/COUNT(Table462[61]),0)</f>
        <v>50</v>
      </c>
      <c r="BO2">
        <f>IFERROR($B$1/COUNT(Table462[62]),0)</f>
        <v>50</v>
      </c>
      <c r="BP2">
        <f>IFERROR($B$1/COUNT(Table462[63]),0)</f>
        <v>16.666666666666668</v>
      </c>
      <c r="BQ2">
        <f>IFERROR($B$1/COUNT(Table462[64]),0)</f>
        <v>5.5555555555555554</v>
      </c>
      <c r="BR2">
        <f>IFERROR($B$1/COUNT(Table462[65]),0)</f>
        <v>0</v>
      </c>
      <c r="BS2">
        <f>IFERROR($B$1/COUNT(Table462[66]),0)</f>
        <v>100</v>
      </c>
      <c r="BT2">
        <f>IFERROR($B$1/COUNT(Table462[67]),0)</f>
        <v>50</v>
      </c>
      <c r="BU2">
        <f>IFERROR($B$1/COUNT(Table462[68]),0)</f>
        <v>33.333333333333336</v>
      </c>
      <c r="BV2">
        <f>IFERROR($B$1/COUNT(Table462[69]),0)</f>
        <v>16.666666666666668</v>
      </c>
      <c r="BW2">
        <f>IFERROR($B$1/COUNT(Table462[70]),0)</f>
        <v>7.1428571428571432</v>
      </c>
      <c r="BX2">
        <f>IFERROR($B$1/COUNT(Table462[71]),0)</f>
        <v>16.666666666666668</v>
      </c>
      <c r="BY2">
        <f>IFERROR($B$1/COUNT(Table462[72]),0)</f>
        <v>4.5454545454545459</v>
      </c>
      <c r="BZ2">
        <f>IFERROR($B$1/COUNT(Table462[73]),0)</f>
        <v>11.111111111111111</v>
      </c>
      <c r="CA2">
        <f>IFERROR($B$1/COUNT(Table462[74]),0)</f>
        <v>12.5</v>
      </c>
      <c r="CB2">
        <f>IFERROR($B$1/COUNT(Table462[75]),0)</f>
        <v>3.225806451612903</v>
      </c>
      <c r="CC2">
        <f>IFERROR($B$1/COUNT(Table462[76]),0)</f>
        <v>4.3478260869565215</v>
      </c>
      <c r="CD2">
        <f>IFERROR($B$1/COUNT(Table462[77]),0)</f>
        <v>4.3478260869565215</v>
      </c>
      <c r="CE2">
        <f>IFERROR($B$1/COUNT(Table462[78]),0)</f>
        <v>4.5454545454545459</v>
      </c>
      <c r="CF2">
        <f>IFERROR($B$1/COUNT(Table462[79]),0)</f>
        <v>7.6923076923076925</v>
      </c>
      <c r="CG2">
        <f>IFERROR($B$1/COUNT(Table462[80]),0)</f>
        <v>50</v>
      </c>
      <c r="CH2">
        <f>IFERROR($B$1/COUNT(Table462[81]),0)</f>
        <v>5.2631578947368425</v>
      </c>
      <c r="CI2">
        <f>IFERROR($B$1/COUNT(Table462[82]),0)</f>
        <v>100</v>
      </c>
      <c r="CJ2">
        <f>IFERROR($B$1/COUNT(Table462[83]),0)</f>
        <v>100</v>
      </c>
      <c r="CK2">
        <f>IFERROR($B$1/COUNT(Table462[84]),0)</f>
        <v>10</v>
      </c>
      <c r="CL2">
        <f>IFERROR($B$1/COUNT(Table462[85]),0)</f>
        <v>0</v>
      </c>
      <c r="CM2">
        <f>IFERROR($B$1/COUNT(Table462[86]),0)</f>
        <v>0</v>
      </c>
      <c r="CN2">
        <f>IFERROR($B$1/COUNT(Table462[87]),0)</f>
        <v>0</v>
      </c>
      <c r="CO2">
        <f>IFERROR($B$1/COUNT(Table462[88]),0)</f>
        <v>0</v>
      </c>
      <c r="CP2">
        <f>IFERROR($B$1/COUNT(Table462[89]),0)</f>
        <v>100</v>
      </c>
      <c r="CQ2">
        <f>IFERROR($B$1/COUNT(Table462[90]),0)</f>
        <v>100</v>
      </c>
      <c r="CR2">
        <f>IFERROR($B$1/COUNT(Table462[91]),0)</f>
        <v>0</v>
      </c>
      <c r="CS2">
        <f>IFERROR($B$1/COUNT(Table462[92]),0)</f>
        <v>0</v>
      </c>
      <c r="CT2">
        <f>IFERROR($B$1/COUNT(Table462[93]),0)</f>
        <v>0</v>
      </c>
      <c r="CU2">
        <f>IFERROR($B$1/COUNT(Table462[94]),0)</f>
        <v>0</v>
      </c>
      <c r="CV2">
        <f>IFERROR($B$1/COUNT(Table462[95]),0)</f>
        <v>0</v>
      </c>
      <c r="CW2">
        <f>IFERROR($B$1/COUNT(Table462[96]),0)</f>
        <v>0</v>
      </c>
      <c r="CX2">
        <f>IFERROR($B$1/COUNT(Table462[97]),0)</f>
        <v>0</v>
      </c>
      <c r="CY2">
        <f>IFERROR($B$1/COUNT(Table462[98]),0)</f>
        <v>0</v>
      </c>
      <c r="CZ2">
        <f>IFERROR($B$1/COUNT(Table462[99]),0)</f>
        <v>0</v>
      </c>
      <c r="DA2">
        <f>IFERROR($B$1/COUNT(Table462[100]),0)</f>
        <v>0</v>
      </c>
    </row>
    <row r="3" spans="1:107" outlineLevel="1" x14ac:dyDescent="0.25">
      <c r="A3" t="s">
        <v>4</v>
      </c>
      <c r="B3">
        <v>1.3</v>
      </c>
      <c r="C3" t="s">
        <v>5</v>
      </c>
      <c r="D3">
        <v>1</v>
      </c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107" x14ac:dyDescent="0.25">
      <c r="A4" s="1" t="s">
        <v>6</v>
      </c>
      <c r="B4" s="2" t="s">
        <v>0</v>
      </c>
      <c r="C4" s="2" t="s">
        <v>1</v>
      </c>
      <c r="D4" s="2" t="s">
        <v>3</v>
      </c>
      <c r="E4" s="2" t="s">
        <v>2</v>
      </c>
      <c r="F4" s="31" t="s">
        <v>8</v>
      </c>
      <c r="G4" s="31" t="s">
        <v>9</v>
      </c>
      <c r="H4" s="31" t="s">
        <v>10</v>
      </c>
      <c r="I4" s="31" t="s">
        <v>11</v>
      </c>
      <c r="J4" s="31" t="s">
        <v>12</v>
      </c>
      <c r="K4" s="31" t="s">
        <v>13</v>
      </c>
      <c r="L4" s="31" t="s">
        <v>14</v>
      </c>
      <c r="M4" s="31" t="s">
        <v>15</v>
      </c>
      <c r="N4" s="31" t="s">
        <v>16</v>
      </c>
      <c r="O4" s="31" t="s">
        <v>17</v>
      </c>
      <c r="P4" s="31" t="s">
        <v>18</v>
      </c>
      <c r="Q4" s="31" t="s">
        <v>19</v>
      </c>
      <c r="R4" s="31" t="s">
        <v>20</v>
      </c>
      <c r="S4" s="31" t="s">
        <v>21</v>
      </c>
      <c r="T4" s="31" t="s">
        <v>22</v>
      </c>
      <c r="U4" s="31" t="s">
        <v>23</v>
      </c>
      <c r="V4" s="31" t="s">
        <v>24</v>
      </c>
      <c r="W4" s="31" t="s">
        <v>25</v>
      </c>
      <c r="X4" s="31" t="s">
        <v>26</v>
      </c>
      <c r="Y4" s="31" t="s">
        <v>27</v>
      </c>
      <c r="Z4" s="31" t="s">
        <v>28</v>
      </c>
      <c r="AA4" s="31" t="s">
        <v>29</v>
      </c>
      <c r="AB4" s="2" t="s">
        <v>30</v>
      </c>
      <c r="AC4" s="2" t="s">
        <v>31</v>
      </c>
      <c r="AD4" s="2" t="s">
        <v>32</v>
      </c>
      <c r="AE4" s="10" t="s">
        <v>35</v>
      </c>
      <c r="AF4" s="10" t="s">
        <v>36</v>
      </c>
      <c r="AG4" s="10" t="s">
        <v>37</v>
      </c>
      <c r="AH4" s="10" t="s">
        <v>38</v>
      </c>
      <c r="AI4" s="10" t="s">
        <v>39</v>
      </c>
      <c r="AJ4" s="10" t="s">
        <v>40</v>
      </c>
      <c r="AK4" s="14" t="s">
        <v>41</v>
      </c>
      <c r="AL4" s="10" t="s">
        <v>42</v>
      </c>
      <c r="AM4" s="10" t="s">
        <v>43</v>
      </c>
      <c r="AN4" s="14" t="s">
        <v>44</v>
      </c>
      <c r="AO4" s="10" t="s">
        <v>45</v>
      </c>
      <c r="AP4" s="10" t="s">
        <v>46</v>
      </c>
      <c r="AQ4" s="14" t="s">
        <v>47</v>
      </c>
      <c r="AR4" s="14" t="s">
        <v>48</v>
      </c>
      <c r="AS4" s="14" t="s">
        <v>49</v>
      </c>
      <c r="AT4" s="10" t="s">
        <v>50</v>
      </c>
      <c r="AU4" s="10" t="s">
        <v>51</v>
      </c>
      <c r="AV4" s="10" t="s">
        <v>52</v>
      </c>
      <c r="AW4" s="14" t="s">
        <v>53</v>
      </c>
      <c r="AX4" s="10" t="s">
        <v>54</v>
      </c>
      <c r="AY4" s="10" t="s">
        <v>55</v>
      </c>
      <c r="AZ4" s="10" t="s">
        <v>56</v>
      </c>
      <c r="BA4" s="10" t="s">
        <v>57</v>
      </c>
      <c r="BB4" s="10" t="s">
        <v>58</v>
      </c>
      <c r="BC4" s="10" t="s">
        <v>59</v>
      </c>
      <c r="BD4" s="14" t="s">
        <v>60</v>
      </c>
      <c r="BE4" s="10" t="s">
        <v>61</v>
      </c>
      <c r="BF4" s="14" t="s">
        <v>62</v>
      </c>
      <c r="BG4" s="10" t="s">
        <v>63</v>
      </c>
      <c r="BH4" s="10" t="s">
        <v>64</v>
      </c>
      <c r="BI4" s="14" t="s">
        <v>65</v>
      </c>
      <c r="BJ4" s="14" t="s">
        <v>66</v>
      </c>
      <c r="BK4" s="10" t="s">
        <v>67</v>
      </c>
      <c r="BL4" s="10" t="s">
        <v>68</v>
      </c>
      <c r="BM4" s="14" t="s">
        <v>69</v>
      </c>
      <c r="BN4" s="10" t="s">
        <v>70</v>
      </c>
      <c r="BO4" s="14" t="s">
        <v>71</v>
      </c>
      <c r="BP4" s="10" t="s">
        <v>72</v>
      </c>
      <c r="BQ4" s="14" t="s">
        <v>73</v>
      </c>
      <c r="BR4" s="10" t="s">
        <v>74</v>
      </c>
      <c r="BS4" s="14" t="s">
        <v>75</v>
      </c>
      <c r="BT4" s="10" t="s">
        <v>76</v>
      </c>
      <c r="BU4" s="10" t="s">
        <v>77</v>
      </c>
      <c r="BV4" s="14" t="s">
        <v>78</v>
      </c>
      <c r="BW4" s="10" t="s">
        <v>79</v>
      </c>
      <c r="BX4" s="14" t="s">
        <v>80</v>
      </c>
      <c r="BY4" s="14" t="s">
        <v>81</v>
      </c>
      <c r="BZ4" s="10" t="s">
        <v>82</v>
      </c>
      <c r="CA4" s="14" t="s">
        <v>83</v>
      </c>
      <c r="CB4" s="14" t="s">
        <v>84</v>
      </c>
      <c r="CC4" s="14" t="s">
        <v>85</v>
      </c>
      <c r="CD4" s="10" t="s">
        <v>86</v>
      </c>
      <c r="CE4" s="10" t="s">
        <v>87</v>
      </c>
      <c r="CF4" s="10" t="s">
        <v>88</v>
      </c>
      <c r="CG4" s="10" t="s">
        <v>89</v>
      </c>
      <c r="CH4" s="10" t="s">
        <v>90</v>
      </c>
      <c r="CI4" s="14" t="s">
        <v>91</v>
      </c>
      <c r="CJ4" s="10" t="s">
        <v>92</v>
      </c>
      <c r="CK4" s="10" t="s">
        <v>93</v>
      </c>
      <c r="CL4" s="10" t="s">
        <v>94</v>
      </c>
      <c r="CM4" s="10" t="s">
        <v>95</v>
      </c>
      <c r="CN4" s="14" t="s">
        <v>96</v>
      </c>
      <c r="CO4" s="10" t="s">
        <v>97</v>
      </c>
      <c r="CP4" s="10" t="s">
        <v>98</v>
      </c>
      <c r="CQ4" s="14" t="s">
        <v>99</v>
      </c>
      <c r="CR4" s="10" t="s">
        <v>100</v>
      </c>
      <c r="CS4" s="10" t="s">
        <v>101</v>
      </c>
      <c r="CT4" s="14" t="s">
        <v>102</v>
      </c>
      <c r="CU4" s="10" t="s">
        <v>103</v>
      </c>
      <c r="CV4" s="10" t="s">
        <v>104</v>
      </c>
      <c r="CW4" s="14" t="s">
        <v>105</v>
      </c>
      <c r="CX4" s="10" t="s">
        <v>106</v>
      </c>
      <c r="CY4" s="10" t="s">
        <v>107</v>
      </c>
      <c r="CZ4" s="10" t="s">
        <v>108</v>
      </c>
      <c r="DA4" s="14" t="s">
        <v>109</v>
      </c>
      <c r="DB4" s="7" t="s">
        <v>33</v>
      </c>
      <c r="DC4" s="7" t="s">
        <v>110</v>
      </c>
    </row>
    <row r="5" spans="1:107" x14ac:dyDescent="0.25">
      <c r="A5" s="20">
        <v>1</v>
      </c>
      <c r="B5" s="13" t="s">
        <v>226</v>
      </c>
      <c r="C5" s="13" t="s">
        <v>227</v>
      </c>
      <c r="D5" s="12" t="s">
        <v>182</v>
      </c>
      <c r="E5" s="13" t="s">
        <v>223</v>
      </c>
      <c r="F5" s="33">
        <v>1.3</v>
      </c>
      <c r="G5" s="33">
        <v>1.3</v>
      </c>
      <c r="H5" s="33">
        <v>1.3</v>
      </c>
      <c r="I5" s="33">
        <v>1.3</v>
      </c>
      <c r="J5" s="33">
        <v>1.3</v>
      </c>
      <c r="K5" s="33">
        <v>1.3</v>
      </c>
      <c r="L5" s="33">
        <v>1.3</v>
      </c>
      <c r="M5" s="33">
        <v>1.3</v>
      </c>
      <c r="N5" s="33">
        <v>1.3</v>
      </c>
      <c r="O5" s="33">
        <v>1.3</v>
      </c>
      <c r="P5" s="33">
        <v>1.3</v>
      </c>
      <c r="Q5" s="33">
        <v>1.3</v>
      </c>
      <c r="R5" s="33">
        <v>1.3</v>
      </c>
      <c r="S5" s="33">
        <v>1.3</v>
      </c>
      <c r="T5" s="33">
        <v>1.3</v>
      </c>
      <c r="U5" s="33">
        <v>1.3</v>
      </c>
      <c r="V5" s="33">
        <v>1.3</v>
      </c>
      <c r="W5" s="33">
        <v>1.3</v>
      </c>
      <c r="X5" s="33">
        <v>1.3</v>
      </c>
      <c r="Y5" s="33">
        <v>1.3</v>
      </c>
      <c r="Z5" s="33">
        <v>1</v>
      </c>
      <c r="AA5" s="33"/>
      <c r="AB5" s="13">
        <v>1</v>
      </c>
      <c r="AC5" s="13">
        <v>1.3</v>
      </c>
      <c r="AD5" s="13">
        <v>1</v>
      </c>
      <c r="AE5" s="13">
        <v>1</v>
      </c>
      <c r="AF5" s="13">
        <v>1.3</v>
      </c>
      <c r="AG5" s="13">
        <v>1.3</v>
      </c>
      <c r="AH5" s="13">
        <v>1.3</v>
      </c>
      <c r="AI5" s="13">
        <v>1.3</v>
      </c>
      <c r="AJ5" s="13">
        <v>1</v>
      </c>
      <c r="AK5" s="13">
        <v>1.3</v>
      </c>
      <c r="AL5" s="13">
        <v>1</v>
      </c>
      <c r="AM5" s="13">
        <v>1.3</v>
      </c>
      <c r="AN5" s="13">
        <v>1.3</v>
      </c>
      <c r="AO5" s="13">
        <v>1.3</v>
      </c>
      <c r="AP5" s="13">
        <v>1.3</v>
      </c>
      <c r="AQ5" s="13">
        <v>1.3</v>
      </c>
      <c r="AR5" s="13">
        <v>1.3</v>
      </c>
      <c r="AS5" s="13">
        <v>1.3</v>
      </c>
      <c r="AT5" s="13">
        <v>1.3</v>
      </c>
      <c r="AU5" s="13">
        <v>1.3</v>
      </c>
      <c r="AV5" s="13">
        <v>1.3</v>
      </c>
      <c r="AW5" s="13">
        <v>1.3</v>
      </c>
      <c r="AX5" s="13">
        <v>1.3</v>
      </c>
      <c r="AY5" s="13">
        <v>1.3</v>
      </c>
      <c r="AZ5" s="13">
        <v>1.3</v>
      </c>
      <c r="BA5" s="13">
        <v>1.3</v>
      </c>
      <c r="BB5" s="13">
        <v>1.3</v>
      </c>
      <c r="BC5" s="13">
        <v>1</v>
      </c>
      <c r="BD5" s="13">
        <v>1.3</v>
      </c>
      <c r="BE5" s="13">
        <v>1.3</v>
      </c>
      <c r="BF5" s="13">
        <v>1</v>
      </c>
      <c r="BG5" s="13">
        <v>1.3</v>
      </c>
      <c r="BH5" s="13">
        <v>1</v>
      </c>
      <c r="BI5" s="13"/>
      <c r="BJ5" s="13">
        <v>1.3</v>
      </c>
      <c r="BK5" s="13">
        <v>1.3</v>
      </c>
      <c r="BL5" s="13">
        <v>1</v>
      </c>
      <c r="BM5" s="13">
        <v>1</v>
      </c>
      <c r="BN5" s="13"/>
      <c r="BO5" s="13">
        <v>1</v>
      </c>
      <c r="BP5" s="13">
        <v>1.3</v>
      </c>
      <c r="BQ5" s="13">
        <v>1</v>
      </c>
      <c r="BR5" s="13"/>
      <c r="BS5" s="13">
        <v>1</v>
      </c>
      <c r="BT5" s="13">
        <v>1</v>
      </c>
      <c r="BU5" s="13">
        <v>1</v>
      </c>
      <c r="BV5" s="13">
        <v>1.3</v>
      </c>
      <c r="BW5" s="13">
        <v>1.3</v>
      </c>
      <c r="BX5" s="13">
        <v>1.3</v>
      </c>
      <c r="BY5" s="13">
        <v>1.3</v>
      </c>
      <c r="BZ5" s="13">
        <v>1.3</v>
      </c>
      <c r="CA5" s="13">
        <v>1</v>
      </c>
      <c r="CB5" s="13">
        <v>1.3</v>
      </c>
      <c r="CC5" s="13">
        <v>1</v>
      </c>
      <c r="CD5" s="13">
        <v>1.3</v>
      </c>
      <c r="CE5" s="13">
        <v>1.3</v>
      </c>
      <c r="CF5" s="13">
        <v>1</v>
      </c>
      <c r="CG5" s="13">
        <v>1</v>
      </c>
      <c r="CH5" s="13">
        <v>1.3</v>
      </c>
      <c r="CI5" s="13"/>
      <c r="CJ5" s="13"/>
      <c r="CK5" s="13">
        <v>1</v>
      </c>
      <c r="CL5" s="13"/>
      <c r="CM5" s="13"/>
      <c r="CN5" s="13"/>
      <c r="CO5" s="13"/>
      <c r="CP5" s="13">
        <v>1</v>
      </c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9">
        <f>SUMPRODUCT(Table462[[#This Row],[1]:[100]],$F$2:$DA$2)</f>
        <v>857.98040325699412</v>
      </c>
      <c r="DC5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29.100000000000005</v>
      </c>
    </row>
    <row r="6" spans="1:107" x14ac:dyDescent="0.25">
      <c r="A6" s="20">
        <v>2</v>
      </c>
      <c r="B6" s="13" t="s">
        <v>343</v>
      </c>
      <c r="C6" s="13" t="s">
        <v>342</v>
      </c>
      <c r="D6" s="12" t="s">
        <v>317</v>
      </c>
      <c r="E6" s="13" t="s">
        <v>297</v>
      </c>
      <c r="F6" s="33">
        <v>1.3</v>
      </c>
      <c r="G6" s="33">
        <v>1.3</v>
      </c>
      <c r="H6" s="33">
        <v>1.3</v>
      </c>
      <c r="I6" s="33">
        <v>1.3</v>
      </c>
      <c r="J6" s="33">
        <v>1.3</v>
      </c>
      <c r="K6" s="33">
        <v>1.3</v>
      </c>
      <c r="L6" s="33">
        <v>1.3</v>
      </c>
      <c r="M6" s="33">
        <v>1.3</v>
      </c>
      <c r="N6" s="33">
        <v>1.3</v>
      </c>
      <c r="O6" s="33">
        <v>1.3</v>
      </c>
      <c r="P6" s="33">
        <v>1.3</v>
      </c>
      <c r="Q6" s="33">
        <v>1.3</v>
      </c>
      <c r="R6" s="33">
        <v>1.3</v>
      </c>
      <c r="S6" s="33">
        <v>1.3</v>
      </c>
      <c r="T6" s="33">
        <v>1.3</v>
      </c>
      <c r="U6" s="33">
        <v>1.3</v>
      </c>
      <c r="V6" s="33">
        <v>1.3</v>
      </c>
      <c r="W6" s="33">
        <v>1.3</v>
      </c>
      <c r="X6" s="33">
        <v>1.3</v>
      </c>
      <c r="Y6" s="33">
        <v>1</v>
      </c>
      <c r="Z6" s="33">
        <v>1.3</v>
      </c>
      <c r="AA6" s="33">
        <v>1</v>
      </c>
      <c r="AB6" s="13">
        <v>1.3</v>
      </c>
      <c r="AC6" s="13">
        <v>1.3</v>
      </c>
      <c r="AD6" s="13">
        <v>1.3</v>
      </c>
      <c r="AE6" s="13">
        <v>1</v>
      </c>
      <c r="AF6" s="13">
        <v>1.3</v>
      </c>
      <c r="AG6" s="13"/>
      <c r="AH6" s="13">
        <v>1.3</v>
      </c>
      <c r="AI6" s="13">
        <v>1.3</v>
      </c>
      <c r="AJ6" s="13">
        <v>1</v>
      </c>
      <c r="AK6" s="13">
        <v>1.3</v>
      </c>
      <c r="AL6" s="13">
        <v>1.3</v>
      </c>
      <c r="AM6" s="13">
        <v>1</v>
      </c>
      <c r="AN6" s="13">
        <v>1.3</v>
      </c>
      <c r="AO6" s="13">
        <v>1.3</v>
      </c>
      <c r="AP6" s="13">
        <v>1.3</v>
      </c>
      <c r="AQ6" s="13">
        <v>1.3</v>
      </c>
      <c r="AR6" s="13">
        <v>1.3</v>
      </c>
      <c r="AS6" s="13">
        <v>1.3</v>
      </c>
      <c r="AT6" s="13">
        <v>1.3</v>
      </c>
      <c r="AU6" s="13">
        <v>1.3</v>
      </c>
      <c r="AV6" s="13">
        <v>1.3</v>
      </c>
      <c r="AW6" s="13">
        <v>1</v>
      </c>
      <c r="AX6" s="13">
        <v>1</v>
      </c>
      <c r="AY6" s="13">
        <v>1.3</v>
      </c>
      <c r="AZ6" s="13">
        <v>1.3</v>
      </c>
      <c r="BA6" s="13">
        <v>1.3</v>
      </c>
      <c r="BB6" s="13">
        <v>1.3</v>
      </c>
      <c r="BC6" s="13">
        <v>1.3</v>
      </c>
      <c r="BD6" s="13">
        <v>1.3</v>
      </c>
      <c r="BE6" s="13">
        <v>1.3</v>
      </c>
      <c r="BF6" s="13">
        <v>1</v>
      </c>
      <c r="BG6" s="13">
        <v>1.3</v>
      </c>
      <c r="BH6" s="13">
        <v>1</v>
      </c>
      <c r="BI6" s="13"/>
      <c r="BJ6" s="13">
        <v>1.3</v>
      </c>
      <c r="BK6" s="13">
        <v>1</v>
      </c>
      <c r="BL6" s="13">
        <v>1.3</v>
      </c>
      <c r="BM6" s="13">
        <v>1</v>
      </c>
      <c r="BN6" s="13">
        <v>1</v>
      </c>
      <c r="BO6" s="13">
        <v>1</v>
      </c>
      <c r="BP6" s="13">
        <v>1.3</v>
      </c>
      <c r="BQ6" s="13">
        <v>1.3</v>
      </c>
      <c r="BR6" s="13"/>
      <c r="BS6" s="13"/>
      <c r="BT6" s="13"/>
      <c r="BU6" s="13"/>
      <c r="BV6" s="13">
        <v>1.3</v>
      </c>
      <c r="BW6" s="13">
        <v>1</v>
      </c>
      <c r="BX6" s="13">
        <v>1.3</v>
      </c>
      <c r="BY6" s="13">
        <v>1.3</v>
      </c>
      <c r="BZ6" s="13">
        <v>1.3</v>
      </c>
      <c r="CA6" s="13">
        <v>1</v>
      </c>
      <c r="CB6" s="13">
        <v>1.3</v>
      </c>
      <c r="CC6" s="13">
        <v>1.3</v>
      </c>
      <c r="CD6" s="13">
        <v>1.3</v>
      </c>
      <c r="CE6" s="13">
        <v>1.3</v>
      </c>
      <c r="CF6" s="13">
        <v>1</v>
      </c>
      <c r="CG6" s="13"/>
      <c r="CH6" s="13">
        <v>1</v>
      </c>
      <c r="CI6" s="13"/>
      <c r="CJ6" s="13"/>
      <c r="CK6" s="13">
        <v>1.3</v>
      </c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9">
        <f>SUMPRODUCT(Table462[[#This Row],[1]:[100]],$F$2:$DA$2)</f>
        <v>590.1054802779696</v>
      </c>
      <c r="DC6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28.400000000000009</v>
      </c>
    </row>
    <row r="7" spans="1:107" x14ac:dyDescent="0.25">
      <c r="A7" s="20">
        <v>3</v>
      </c>
      <c r="B7" s="13" t="s">
        <v>228</v>
      </c>
      <c r="C7" s="13" t="s">
        <v>229</v>
      </c>
      <c r="D7" s="13" t="s">
        <v>182</v>
      </c>
      <c r="E7" s="13" t="s">
        <v>223</v>
      </c>
      <c r="F7" s="33">
        <v>1.3</v>
      </c>
      <c r="G7" s="33">
        <v>1.3</v>
      </c>
      <c r="H7" s="33">
        <v>1.3</v>
      </c>
      <c r="I7" s="33">
        <v>1.3</v>
      </c>
      <c r="J7" s="33">
        <v>1.3</v>
      </c>
      <c r="K7" s="33">
        <v>1.3</v>
      </c>
      <c r="L7" s="33">
        <v>1.3</v>
      </c>
      <c r="M7" s="33">
        <v>1</v>
      </c>
      <c r="N7" s="33">
        <v>1.3</v>
      </c>
      <c r="O7" s="33">
        <v>1.3</v>
      </c>
      <c r="P7" s="33">
        <v>1.3</v>
      </c>
      <c r="Q7" s="33">
        <v>1.3</v>
      </c>
      <c r="R7" s="33">
        <v>1.3</v>
      </c>
      <c r="S7" s="33">
        <v>1.3</v>
      </c>
      <c r="T7" s="33">
        <v>1.3</v>
      </c>
      <c r="U7" s="33">
        <v>1.3</v>
      </c>
      <c r="V7" s="33">
        <v>1.3</v>
      </c>
      <c r="W7" s="33">
        <v>1.3</v>
      </c>
      <c r="X7" s="33">
        <v>1.3</v>
      </c>
      <c r="Y7" s="33">
        <v>1</v>
      </c>
      <c r="Z7" s="33">
        <v>1.3</v>
      </c>
      <c r="AA7" s="33">
        <v>1</v>
      </c>
      <c r="AB7" s="13">
        <v>1</v>
      </c>
      <c r="AC7" s="13"/>
      <c r="AD7" s="13">
        <v>1</v>
      </c>
      <c r="AE7" s="13">
        <v>1</v>
      </c>
      <c r="AF7" s="13">
        <v>1.3</v>
      </c>
      <c r="AG7" s="13">
        <v>1</v>
      </c>
      <c r="AH7" s="13">
        <v>1.3</v>
      </c>
      <c r="AI7" s="13">
        <v>1.3</v>
      </c>
      <c r="AJ7" s="13">
        <v>1.3</v>
      </c>
      <c r="AK7" s="13">
        <v>1.3</v>
      </c>
      <c r="AL7" s="13">
        <v>1</v>
      </c>
      <c r="AM7" s="13">
        <v>1.3</v>
      </c>
      <c r="AN7" s="13">
        <v>1.3</v>
      </c>
      <c r="AO7" s="13">
        <v>1.3</v>
      </c>
      <c r="AP7" s="13">
        <v>1.3</v>
      </c>
      <c r="AQ7" s="13">
        <v>1.3</v>
      </c>
      <c r="AR7" s="13">
        <v>1.3</v>
      </c>
      <c r="AS7" s="13">
        <v>1.3</v>
      </c>
      <c r="AT7" s="13">
        <v>1.3</v>
      </c>
      <c r="AU7" s="13">
        <v>1.3</v>
      </c>
      <c r="AV7" s="13">
        <v>1.3</v>
      </c>
      <c r="AW7" s="13">
        <v>1.3</v>
      </c>
      <c r="AX7" s="13">
        <v>1</v>
      </c>
      <c r="AY7" s="13">
        <v>1.3</v>
      </c>
      <c r="AZ7" s="13">
        <v>1.3</v>
      </c>
      <c r="BA7" s="13">
        <v>1.3</v>
      </c>
      <c r="BB7" s="13">
        <v>1.3</v>
      </c>
      <c r="BC7" s="13">
        <v>1.3</v>
      </c>
      <c r="BD7" s="13">
        <v>1.3</v>
      </c>
      <c r="BE7" s="13">
        <v>1.3</v>
      </c>
      <c r="BF7" s="13">
        <v>1</v>
      </c>
      <c r="BG7" s="13">
        <v>1.3</v>
      </c>
      <c r="BH7" s="13">
        <v>1</v>
      </c>
      <c r="BI7" s="13">
        <v>1</v>
      </c>
      <c r="BJ7" s="13">
        <v>1.3</v>
      </c>
      <c r="BK7" s="13"/>
      <c r="BL7" s="13"/>
      <c r="BM7" s="13">
        <v>1</v>
      </c>
      <c r="BN7" s="13"/>
      <c r="BO7" s="13"/>
      <c r="BP7" s="13">
        <v>1</v>
      </c>
      <c r="BQ7" s="13">
        <v>1.3</v>
      </c>
      <c r="BR7" s="13"/>
      <c r="BS7" s="13"/>
      <c r="BT7" s="13">
        <v>1</v>
      </c>
      <c r="BU7" s="13"/>
      <c r="BV7" s="13"/>
      <c r="BW7" s="13">
        <v>1.3</v>
      </c>
      <c r="BX7" s="13">
        <v>1.3</v>
      </c>
      <c r="BY7" s="13">
        <v>1</v>
      </c>
      <c r="BZ7" s="13">
        <v>1.3</v>
      </c>
      <c r="CA7" s="13">
        <v>1</v>
      </c>
      <c r="CB7" s="13">
        <v>1.3</v>
      </c>
      <c r="CC7" s="13">
        <v>1</v>
      </c>
      <c r="CD7" s="13">
        <v>1.3</v>
      </c>
      <c r="CE7" s="13">
        <v>1.3</v>
      </c>
      <c r="CF7" s="13">
        <v>1</v>
      </c>
      <c r="CG7" s="13"/>
      <c r="CH7" s="13">
        <v>1.3</v>
      </c>
      <c r="CI7" s="13"/>
      <c r="CJ7" s="13"/>
      <c r="CK7" s="13">
        <v>1</v>
      </c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9">
        <f>SUMPRODUCT(Table462[[#This Row],[1]:[100]],$F$2:$DA$2)</f>
        <v>557.29351417816451</v>
      </c>
      <c r="DC7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26.800000000000004</v>
      </c>
    </row>
    <row r="8" spans="1:107" x14ac:dyDescent="0.25">
      <c r="A8" s="27">
        <v>4</v>
      </c>
      <c r="B8" s="22" t="s">
        <v>224</v>
      </c>
      <c r="C8" s="22" t="s">
        <v>225</v>
      </c>
      <c r="D8" s="22" t="s">
        <v>182</v>
      </c>
      <c r="E8" s="22" t="s">
        <v>223</v>
      </c>
      <c r="F8" s="32">
        <v>1.3</v>
      </c>
      <c r="G8" s="32">
        <v>1.3</v>
      </c>
      <c r="H8" s="32">
        <v>1.3</v>
      </c>
      <c r="I8" s="32">
        <v>1.3</v>
      </c>
      <c r="J8" s="32">
        <v>1.3</v>
      </c>
      <c r="K8" s="32">
        <v>1.3</v>
      </c>
      <c r="L8" s="32">
        <v>1.3</v>
      </c>
      <c r="M8" s="32">
        <v>1</v>
      </c>
      <c r="N8" s="32">
        <v>1.3</v>
      </c>
      <c r="O8" s="32">
        <v>1.3</v>
      </c>
      <c r="P8" s="32">
        <v>1.3</v>
      </c>
      <c r="Q8" s="32">
        <v>1.3</v>
      </c>
      <c r="R8" s="32">
        <v>1.3</v>
      </c>
      <c r="S8" s="32">
        <v>1.3</v>
      </c>
      <c r="T8" s="32">
        <v>1.3</v>
      </c>
      <c r="U8" s="32">
        <v>1.3</v>
      </c>
      <c r="V8" s="32">
        <v>1.3</v>
      </c>
      <c r="W8" s="32">
        <v>1.3</v>
      </c>
      <c r="X8" s="32">
        <v>1.3</v>
      </c>
      <c r="Y8" s="32">
        <v>1.3</v>
      </c>
      <c r="Z8" s="32">
        <v>1</v>
      </c>
      <c r="AA8" s="32">
        <v>1</v>
      </c>
      <c r="AB8" s="22">
        <v>1</v>
      </c>
      <c r="AC8" s="22">
        <v>1.3</v>
      </c>
      <c r="AD8" s="22">
        <v>1</v>
      </c>
      <c r="AE8" s="22">
        <v>1</v>
      </c>
      <c r="AF8" s="22">
        <v>1.3</v>
      </c>
      <c r="AG8" s="22">
        <v>1</v>
      </c>
      <c r="AH8" s="22">
        <v>1</v>
      </c>
      <c r="AI8" s="22">
        <v>1.3</v>
      </c>
      <c r="AJ8" s="22">
        <v>1.3</v>
      </c>
      <c r="AK8" s="22">
        <v>1.3</v>
      </c>
      <c r="AL8" s="22"/>
      <c r="AM8" s="22">
        <v>1</v>
      </c>
      <c r="AN8" s="22">
        <v>1.3</v>
      </c>
      <c r="AO8" s="22">
        <v>1.3</v>
      </c>
      <c r="AP8" s="22">
        <v>1.3</v>
      </c>
      <c r="AQ8" s="22">
        <v>1</v>
      </c>
      <c r="AR8" s="22">
        <v>1.3</v>
      </c>
      <c r="AS8" s="22">
        <v>1.3</v>
      </c>
      <c r="AT8" s="22">
        <v>1.3</v>
      </c>
      <c r="AU8" s="22">
        <v>1.3</v>
      </c>
      <c r="AV8" s="22">
        <v>1.3</v>
      </c>
      <c r="AW8" s="22">
        <v>1.3</v>
      </c>
      <c r="AX8" s="22"/>
      <c r="AY8" s="22">
        <v>1.3</v>
      </c>
      <c r="AZ8" s="22">
        <v>1.3</v>
      </c>
      <c r="BA8" s="22">
        <v>1.3</v>
      </c>
      <c r="BB8" s="22">
        <v>1.3</v>
      </c>
      <c r="BC8" s="22">
        <v>1.3</v>
      </c>
      <c r="BD8" s="22">
        <v>1.3</v>
      </c>
      <c r="BE8" s="22">
        <v>1.3</v>
      </c>
      <c r="BF8" s="22"/>
      <c r="BG8" s="22">
        <v>1.3</v>
      </c>
      <c r="BH8" s="22">
        <v>1</v>
      </c>
      <c r="BI8" s="22"/>
      <c r="BJ8" s="22">
        <v>1</v>
      </c>
      <c r="BK8" s="22"/>
      <c r="BL8" s="22">
        <v>1</v>
      </c>
      <c r="BM8" s="22">
        <v>1</v>
      </c>
      <c r="BN8" s="22"/>
      <c r="BO8" s="22"/>
      <c r="BP8" s="22"/>
      <c r="BQ8" s="22">
        <v>1.3</v>
      </c>
      <c r="BR8" s="22"/>
      <c r="BS8" s="22"/>
      <c r="BT8" s="22"/>
      <c r="BU8" s="22"/>
      <c r="BV8" s="22"/>
      <c r="BW8" s="22">
        <v>1</v>
      </c>
      <c r="BX8" s="22">
        <v>1.3</v>
      </c>
      <c r="BY8" s="22">
        <v>1.3</v>
      </c>
      <c r="BZ8" s="22"/>
      <c r="CA8" s="22"/>
      <c r="CB8" s="22">
        <v>1.3</v>
      </c>
      <c r="CC8" s="22">
        <v>1.3</v>
      </c>
      <c r="CD8" s="22">
        <v>1.3</v>
      </c>
      <c r="CE8" s="22">
        <v>1.3</v>
      </c>
      <c r="CF8" s="22">
        <v>1.3</v>
      </c>
      <c r="CG8" s="22"/>
      <c r="CH8" s="22">
        <v>1</v>
      </c>
      <c r="CI8" s="22"/>
      <c r="CJ8" s="22"/>
      <c r="CK8" s="22">
        <v>1</v>
      </c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3">
        <f>SUMPRODUCT(Table462[[#This Row],[1]:[100]],$F$2:$DA$2)</f>
        <v>342.98624226374494</v>
      </c>
      <c r="DC8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23.800000000000008</v>
      </c>
    </row>
    <row r="9" spans="1:107" x14ac:dyDescent="0.25">
      <c r="A9" s="27">
        <v>5</v>
      </c>
      <c r="B9" s="22" t="s">
        <v>195</v>
      </c>
      <c r="C9" s="22" t="s">
        <v>196</v>
      </c>
      <c r="D9" s="22" t="s">
        <v>346</v>
      </c>
      <c r="E9" s="22"/>
      <c r="F9" s="32">
        <v>1.3</v>
      </c>
      <c r="G9" s="32">
        <v>1.3</v>
      </c>
      <c r="H9" s="32">
        <v>1.3</v>
      </c>
      <c r="I9" s="32">
        <v>1.3</v>
      </c>
      <c r="J9" s="32">
        <v>1.3</v>
      </c>
      <c r="K9" s="32">
        <v>1.3</v>
      </c>
      <c r="L9" s="32">
        <v>1.3</v>
      </c>
      <c r="M9" s="32">
        <v>1</v>
      </c>
      <c r="N9" s="32">
        <v>1.3</v>
      </c>
      <c r="O9" s="32">
        <v>1.3</v>
      </c>
      <c r="P9" s="32">
        <v>1.3</v>
      </c>
      <c r="Q9" s="32">
        <v>1.3</v>
      </c>
      <c r="R9" s="32"/>
      <c r="S9" s="32">
        <v>1.3</v>
      </c>
      <c r="T9" s="32">
        <v>1.3</v>
      </c>
      <c r="U9" s="32">
        <v>1.3</v>
      </c>
      <c r="V9" s="32">
        <v>1.3</v>
      </c>
      <c r="W9" s="32">
        <v>1.3</v>
      </c>
      <c r="X9" s="32">
        <v>1.3</v>
      </c>
      <c r="Y9" s="32">
        <v>1.3</v>
      </c>
      <c r="Z9" s="32">
        <v>1.3</v>
      </c>
      <c r="AA9" s="32"/>
      <c r="AB9" s="22">
        <v>1</v>
      </c>
      <c r="AC9" s="22">
        <v>1.3</v>
      </c>
      <c r="AD9" s="22">
        <v>1</v>
      </c>
      <c r="AE9" s="22">
        <v>1</v>
      </c>
      <c r="AF9" s="22">
        <v>1.3</v>
      </c>
      <c r="AG9" s="22">
        <v>1</v>
      </c>
      <c r="AH9" s="22"/>
      <c r="AI9" s="22">
        <v>1.3</v>
      </c>
      <c r="AJ9" s="22">
        <v>1</v>
      </c>
      <c r="AK9" s="22">
        <v>1</v>
      </c>
      <c r="AL9" s="22">
        <v>1</v>
      </c>
      <c r="AM9" s="22">
        <v>1.3</v>
      </c>
      <c r="AN9" s="22">
        <v>1.3</v>
      </c>
      <c r="AO9" s="22">
        <v>1.3</v>
      </c>
      <c r="AP9" s="22">
        <v>1.3</v>
      </c>
      <c r="AQ9" s="22">
        <v>1.3</v>
      </c>
      <c r="AR9" s="22">
        <v>1.3</v>
      </c>
      <c r="AS9" s="22">
        <v>1.3</v>
      </c>
      <c r="AT9" s="22">
        <v>1</v>
      </c>
      <c r="AU9" s="22">
        <v>1.3</v>
      </c>
      <c r="AV9" s="22">
        <v>1.3</v>
      </c>
      <c r="AW9" s="22">
        <v>1</v>
      </c>
      <c r="AX9" s="22">
        <v>1.3</v>
      </c>
      <c r="AY9" s="22">
        <v>1.3</v>
      </c>
      <c r="AZ9" s="22">
        <v>1</v>
      </c>
      <c r="BA9" s="22">
        <v>1.3</v>
      </c>
      <c r="BB9" s="22">
        <v>1.3</v>
      </c>
      <c r="BC9" s="22">
        <v>1</v>
      </c>
      <c r="BD9" s="22">
        <v>1.3</v>
      </c>
      <c r="BE9" s="22">
        <v>1.3</v>
      </c>
      <c r="BF9" s="22"/>
      <c r="BG9" s="22">
        <v>1.3</v>
      </c>
      <c r="BH9" s="22">
        <v>1.3</v>
      </c>
      <c r="BI9" s="22"/>
      <c r="BJ9" s="22">
        <v>1</v>
      </c>
      <c r="BK9" s="22"/>
      <c r="BL9" s="22"/>
      <c r="BM9" s="22"/>
      <c r="BN9" s="22"/>
      <c r="BO9" s="22"/>
      <c r="BP9" s="22"/>
      <c r="BQ9" s="22">
        <v>1.3</v>
      </c>
      <c r="BR9" s="22"/>
      <c r="BS9" s="22"/>
      <c r="BT9" s="22"/>
      <c r="BU9" s="22"/>
      <c r="BV9" s="22"/>
      <c r="BW9" s="22">
        <v>1</v>
      </c>
      <c r="BX9" s="22"/>
      <c r="BY9" s="22">
        <v>1.3</v>
      </c>
      <c r="BZ9" s="22">
        <v>1.3</v>
      </c>
      <c r="CA9" s="22">
        <v>1.3</v>
      </c>
      <c r="CB9" s="22">
        <v>1.3</v>
      </c>
      <c r="CC9" s="22">
        <v>1</v>
      </c>
      <c r="CD9" s="22">
        <v>1</v>
      </c>
      <c r="CE9" s="22">
        <v>1</v>
      </c>
      <c r="CF9" s="22">
        <v>1</v>
      </c>
      <c r="CG9" s="22"/>
      <c r="CH9" s="22">
        <v>1</v>
      </c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3">
        <f>SUMPRODUCT(Table462[[#This Row],[1]:[100]],$F$2:$DA$2)</f>
        <v>291.57211211816764</v>
      </c>
      <c r="DC9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22.200000000000006</v>
      </c>
    </row>
    <row r="10" spans="1:107" x14ac:dyDescent="0.25">
      <c r="A10" s="27">
        <v>6</v>
      </c>
      <c r="B10" s="22" t="s">
        <v>199</v>
      </c>
      <c r="C10" s="22" t="s">
        <v>200</v>
      </c>
      <c r="D10" s="25" t="s">
        <v>346</v>
      </c>
      <c r="E10" s="22" t="s">
        <v>162</v>
      </c>
      <c r="F10" s="32">
        <v>1.3</v>
      </c>
      <c r="G10" s="32">
        <v>1.3</v>
      </c>
      <c r="H10" s="32">
        <v>1.3</v>
      </c>
      <c r="I10" s="32">
        <v>1.3</v>
      </c>
      <c r="J10" s="32">
        <v>1.3</v>
      </c>
      <c r="K10" s="32">
        <v>1.3</v>
      </c>
      <c r="L10" s="32">
        <v>1.3</v>
      </c>
      <c r="M10" s="32">
        <v>1.3</v>
      </c>
      <c r="N10" s="32">
        <v>1.3</v>
      </c>
      <c r="O10" s="32">
        <v>1.3</v>
      </c>
      <c r="P10" s="32">
        <v>1.3</v>
      </c>
      <c r="Q10" s="32">
        <v>1.3</v>
      </c>
      <c r="R10" s="32">
        <v>1.3</v>
      </c>
      <c r="S10" s="32">
        <v>1.3</v>
      </c>
      <c r="T10" s="32">
        <v>1.3</v>
      </c>
      <c r="U10" s="32">
        <v>1.3</v>
      </c>
      <c r="V10" s="32">
        <v>1.3</v>
      </c>
      <c r="W10" s="32">
        <v>1.3</v>
      </c>
      <c r="X10" s="32">
        <v>1.3</v>
      </c>
      <c r="Y10" s="32"/>
      <c r="Z10" s="32">
        <v>1.3</v>
      </c>
      <c r="AA10" s="32"/>
      <c r="AB10" s="22"/>
      <c r="AC10" s="22">
        <v>1.3</v>
      </c>
      <c r="AD10" s="22"/>
      <c r="AE10" s="22"/>
      <c r="AF10" s="22">
        <v>1.3</v>
      </c>
      <c r="AG10" s="22"/>
      <c r="AH10" s="22">
        <v>1.3</v>
      </c>
      <c r="AI10" s="22">
        <v>1.3</v>
      </c>
      <c r="AJ10" s="22"/>
      <c r="AK10" s="22">
        <v>1</v>
      </c>
      <c r="AL10" s="22"/>
      <c r="AM10" s="22">
        <v>1.3</v>
      </c>
      <c r="AN10" s="22">
        <v>1.3</v>
      </c>
      <c r="AO10" s="22">
        <v>1.3</v>
      </c>
      <c r="AP10" s="22">
        <v>1.3</v>
      </c>
      <c r="AQ10" s="22">
        <v>1.3</v>
      </c>
      <c r="AR10" s="22">
        <v>1.3</v>
      </c>
      <c r="AS10" s="22">
        <v>1.3</v>
      </c>
      <c r="AT10" s="22">
        <v>1</v>
      </c>
      <c r="AU10" s="22"/>
      <c r="AV10" s="22">
        <v>1.3</v>
      </c>
      <c r="AW10" s="22">
        <v>1.3</v>
      </c>
      <c r="AX10" s="22">
        <v>1</v>
      </c>
      <c r="AY10" s="22">
        <v>1.3</v>
      </c>
      <c r="AZ10" s="22"/>
      <c r="BA10" s="22"/>
      <c r="BB10" s="22">
        <v>1.3</v>
      </c>
      <c r="BC10" s="22"/>
      <c r="BD10" s="22">
        <v>1.3</v>
      </c>
      <c r="BE10" s="22">
        <v>1.3</v>
      </c>
      <c r="BF10" s="22"/>
      <c r="BG10" s="22">
        <v>1.3</v>
      </c>
      <c r="BH10" s="22"/>
      <c r="BI10" s="22"/>
      <c r="BJ10" s="22"/>
      <c r="BK10" s="22"/>
      <c r="BL10" s="22"/>
      <c r="BM10" s="22"/>
      <c r="BN10" s="22"/>
      <c r="BO10" s="22"/>
      <c r="BP10" s="22"/>
      <c r="BQ10" s="22">
        <v>1.3</v>
      </c>
      <c r="BR10" s="22"/>
      <c r="BS10" s="22"/>
      <c r="BT10" s="22"/>
      <c r="BU10" s="22"/>
      <c r="BV10" s="22"/>
      <c r="BW10" s="22"/>
      <c r="BX10" s="22"/>
      <c r="BY10" s="22"/>
      <c r="BZ10" s="22">
        <v>1.3</v>
      </c>
      <c r="CA10" s="22"/>
      <c r="CB10" s="22">
        <v>1</v>
      </c>
      <c r="CC10" s="22"/>
      <c r="CD10" s="22"/>
      <c r="CE10" s="22"/>
      <c r="CF10" s="22">
        <v>1.3</v>
      </c>
      <c r="CG10" s="22"/>
      <c r="CH10" s="22"/>
      <c r="CI10" s="22">
        <v>1</v>
      </c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3">
        <f>SUMPRODUCT(Table462[[#This Row],[1]:[100]],$F$2:$DA$2)</f>
        <v>268.72199388869961</v>
      </c>
      <c r="DC10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18.600000000000005</v>
      </c>
    </row>
    <row r="11" spans="1:107" x14ac:dyDescent="0.25">
      <c r="A11" s="27">
        <v>7</v>
      </c>
      <c r="B11" s="22" t="s">
        <v>148</v>
      </c>
      <c r="C11" s="22" t="s">
        <v>290</v>
      </c>
      <c r="D11" s="22" t="s">
        <v>346</v>
      </c>
      <c r="E11" s="22" t="s">
        <v>149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>
        <v>1.3</v>
      </c>
      <c r="S11" s="32"/>
      <c r="T11" s="32"/>
      <c r="U11" s="32"/>
      <c r="V11" s="32"/>
      <c r="W11" s="32"/>
      <c r="X11" s="32"/>
      <c r="Y11" s="32"/>
      <c r="Z11" s="32"/>
      <c r="AA11" s="32"/>
      <c r="AB11" s="22"/>
      <c r="AC11" s="22"/>
      <c r="AD11" s="22"/>
      <c r="AE11" s="22"/>
      <c r="AF11" s="22"/>
      <c r="AG11" s="22"/>
      <c r="AH11" s="22"/>
      <c r="AI11" s="22"/>
      <c r="AJ11" s="22">
        <v>1</v>
      </c>
      <c r="AK11" s="22">
        <v>1</v>
      </c>
      <c r="AL11" s="22"/>
      <c r="AM11" s="22"/>
      <c r="AN11" s="22"/>
      <c r="AO11" s="22"/>
      <c r="AP11" s="22">
        <v>1.3</v>
      </c>
      <c r="AQ11" s="22"/>
      <c r="AR11" s="22"/>
      <c r="AS11" s="22"/>
      <c r="AT11" s="22"/>
      <c r="AU11" s="22"/>
      <c r="AV11" s="22">
        <v>1.3</v>
      </c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>
        <v>1</v>
      </c>
      <c r="BI11" s="22"/>
      <c r="BJ11" s="22">
        <v>1</v>
      </c>
      <c r="BK11" s="22">
        <v>1</v>
      </c>
      <c r="BL11" s="22">
        <v>1</v>
      </c>
      <c r="BM11" s="22">
        <v>1</v>
      </c>
      <c r="BN11" s="22"/>
      <c r="BO11" s="22"/>
      <c r="BP11" s="22">
        <v>1</v>
      </c>
      <c r="BQ11" s="22">
        <v>1</v>
      </c>
      <c r="BR11" s="22"/>
      <c r="BS11" s="22"/>
      <c r="BT11" s="22"/>
      <c r="BU11" s="22"/>
      <c r="BV11" s="22"/>
      <c r="BW11" s="22">
        <v>1</v>
      </c>
      <c r="BX11" s="22">
        <v>1</v>
      </c>
      <c r="BY11" s="22">
        <v>1</v>
      </c>
      <c r="BZ11" s="22">
        <v>1</v>
      </c>
      <c r="CA11" s="22">
        <v>1</v>
      </c>
      <c r="CB11" s="22">
        <v>1</v>
      </c>
      <c r="CC11" s="22">
        <v>1</v>
      </c>
      <c r="CD11" s="22"/>
      <c r="CE11" s="22">
        <v>1</v>
      </c>
      <c r="CF11" s="22">
        <v>1</v>
      </c>
      <c r="CG11" s="22">
        <v>1.3</v>
      </c>
      <c r="CH11" s="22">
        <v>1</v>
      </c>
      <c r="CI11" s="22"/>
      <c r="CJ11" s="22"/>
      <c r="CK11" s="22">
        <v>1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3">
        <f>SUMPRODUCT(Table462[[#This Row],[1]:[100]],$F$2:$DA$2)</f>
        <v>263.57768112289739</v>
      </c>
      <c r="DC11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9</v>
      </c>
    </row>
    <row r="12" spans="1:107" x14ac:dyDescent="0.25">
      <c r="A12" s="27">
        <v>8</v>
      </c>
      <c r="B12" s="22" t="s">
        <v>221</v>
      </c>
      <c r="C12" s="22" t="s">
        <v>222</v>
      </c>
      <c r="D12" s="22" t="s">
        <v>182</v>
      </c>
      <c r="E12" s="22" t="s">
        <v>223</v>
      </c>
      <c r="F12" s="32">
        <v>1.3</v>
      </c>
      <c r="G12" s="32">
        <v>1.3</v>
      </c>
      <c r="H12" s="32">
        <v>1.3</v>
      </c>
      <c r="I12" s="32">
        <v>1.3</v>
      </c>
      <c r="J12" s="32">
        <v>1.3</v>
      </c>
      <c r="K12" s="32">
        <v>1.3</v>
      </c>
      <c r="L12" s="32">
        <v>1.3</v>
      </c>
      <c r="M12" s="32">
        <v>1</v>
      </c>
      <c r="N12" s="32">
        <v>1.3</v>
      </c>
      <c r="O12" s="32">
        <v>1.3</v>
      </c>
      <c r="P12" s="32">
        <v>1.3</v>
      </c>
      <c r="Q12" s="32">
        <v>1.3</v>
      </c>
      <c r="R12" s="32">
        <v>1.3</v>
      </c>
      <c r="S12" s="32">
        <v>1.3</v>
      </c>
      <c r="T12" s="32">
        <v>1.3</v>
      </c>
      <c r="U12" s="32">
        <v>1.3</v>
      </c>
      <c r="V12" s="32">
        <v>1.3</v>
      </c>
      <c r="W12" s="32">
        <v>1.3</v>
      </c>
      <c r="X12" s="32">
        <v>1.3</v>
      </c>
      <c r="Y12" s="32">
        <v>1</v>
      </c>
      <c r="Z12" s="32">
        <v>1.3</v>
      </c>
      <c r="AA12" s="32"/>
      <c r="AB12" s="22">
        <v>1</v>
      </c>
      <c r="AC12" s="22">
        <v>1</v>
      </c>
      <c r="AD12" s="22"/>
      <c r="AE12" s="22"/>
      <c r="AF12" s="22">
        <v>1.3</v>
      </c>
      <c r="AG12" s="22">
        <v>1</v>
      </c>
      <c r="AH12" s="22">
        <v>1</v>
      </c>
      <c r="AI12" s="22">
        <v>1.3</v>
      </c>
      <c r="AJ12" s="22">
        <v>1.3</v>
      </c>
      <c r="AK12" s="22">
        <v>1</v>
      </c>
      <c r="AL12" s="22">
        <v>1</v>
      </c>
      <c r="AM12" s="22">
        <v>1.3</v>
      </c>
      <c r="AN12" s="22">
        <v>1.3</v>
      </c>
      <c r="AO12" s="22">
        <v>1.3</v>
      </c>
      <c r="AP12" s="22">
        <v>1.3</v>
      </c>
      <c r="AQ12" s="22">
        <v>1</v>
      </c>
      <c r="AR12" s="22">
        <v>1.3</v>
      </c>
      <c r="AS12" s="22">
        <v>1.3</v>
      </c>
      <c r="AT12" s="22">
        <v>1.3</v>
      </c>
      <c r="AU12" s="22">
        <v>1.3</v>
      </c>
      <c r="AV12" s="22">
        <v>1.3</v>
      </c>
      <c r="AW12" s="22">
        <v>1.3</v>
      </c>
      <c r="AX12" s="22"/>
      <c r="AY12" s="22">
        <v>1.3</v>
      </c>
      <c r="AZ12" s="22">
        <v>1</v>
      </c>
      <c r="BA12" s="22">
        <v>1</v>
      </c>
      <c r="BB12" s="22">
        <v>1.3</v>
      </c>
      <c r="BC12" s="22">
        <v>1</v>
      </c>
      <c r="BD12" s="22">
        <v>1.3</v>
      </c>
      <c r="BE12" s="22">
        <v>1.3</v>
      </c>
      <c r="BF12" s="22"/>
      <c r="BG12" s="22">
        <v>1.3</v>
      </c>
      <c r="BH12" s="22">
        <v>1</v>
      </c>
      <c r="BI12" s="22"/>
      <c r="BJ12" s="22">
        <v>1</v>
      </c>
      <c r="BK12" s="22"/>
      <c r="BL12" s="22">
        <v>1</v>
      </c>
      <c r="BM12" s="22"/>
      <c r="BN12" s="22"/>
      <c r="BO12" s="22"/>
      <c r="BP12" s="22"/>
      <c r="BQ12" s="22">
        <v>1.3</v>
      </c>
      <c r="BR12" s="22"/>
      <c r="BS12" s="22"/>
      <c r="BT12" s="22"/>
      <c r="BU12" s="22"/>
      <c r="BV12" s="22"/>
      <c r="BW12" s="22">
        <v>1</v>
      </c>
      <c r="BX12" s="22"/>
      <c r="BY12" s="22">
        <v>1</v>
      </c>
      <c r="BZ12" s="22"/>
      <c r="CA12" s="22">
        <v>1</v>
      </c>
      <c r="CB12" s="22">
        <v>1</v>
      </c>
      <c r="CC12" s="22">
        <v>1</v>
      </c>
      <c r="CD12" s="22">
        <v>1</v>
      </c>
      <c r="CE12" s="22">
        <v>1</v>
      </c>
      <c r="CF12" s="22"/>
      <c r="CG12" s="22"/>
      <c r="CH12" s="22">
        <v>1</v>
      </c>
      <c r="CI12" s="22"/>
      <c r="CJ12" s="22"/>
      <c r="CK12" s="22">
        <v>1</v>
      </c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3">
        <f>SUMPRODUCT(Table462[[#This Row],[1]:[100]],$F$2:$DA$2)</f>
        <v>261.52034765678138</v>
      </c>
      <c r="DC12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21.300000000000004</v>
      </c>
    </row>
    <row r="13" spans="1:107" x14ac:dyDescent="0.25">
      <c r="A13" s="27">
        <v>9</v>
      </c>
      <c r="B13" s="22" t="s">
        <v>183</v>
      </c>
      <c r="C13" s="22" t="s">
        <v>184</v>
      </c>
      <c r="D13" s="22" t="s">
        <v>182</v>
      </c>
      <c r="E13" s="22"/>
      <c r="F13" s="32"/>
      <c r="G13" s="32">
        <v>1.3</v>
      </c>
      <c r="H13" s="32">
        <v>1.3</v>
      </c>
      <c r="I13" s="32">
        <v>1.3</v>
      </c>
      <c r="J13" s="32">
        <v>1.3</v>
      </c>
      <c r="K13" s="32">
        <v>1.3</v>
      </c>
      <c r="L13" s="32"/>
      <c r="M13" s="32">
        <v>1.3</v>
      </c>
      <c r="N13" s="32">
        <v>1.3</v>
      </c>
      <c r="O13" s="32">
        <v>1.3</v>
      </c>
      <c r="P13" s="32">
        <v>1.3</v>
      </c>
      <c r="Q13" s="32">
        <v>1.3</v>
      </c>
      <c r="R13" s="32">
        <v>1.3</v>
      </c>
      <c r="S13" s="32">
        <v>1.3</v>
      </c>
      <c r="T13" s="32">
        <v>1.3</v>
      </c>
      <c r="U13" s="32">
        <v>1.3</v>
      </c>
      <c r="V13" s="32">
        <v>1.3</v>
      </c>
      <c r="W13" s="32">
        <v>1.3</v>
      </c>
      <c r="X13" s="32">
        <v>1.3</v>
      </c>
      <c r="Y13" s="32"/>
      <c r="Z13" s="32">
        <v>1.3</v>
      </c>
      <c r="AA13" s="32"/>
      <c r="AB13" s="22"/>
      <c r="AC13" s="22"/>
      <c r="AD13" s="22"/>
      <c r="AE13" s="22"/>
      <c r="AF13" s="22"/>
      <c r="AG13" s="22">
        <v>1</v>
      </c>
      <c r="AH13" s="22">
        <v>1</v>
      </c>
      <c r="AI13" s="22">
        <v>1.3</v>
      </c>
      <c r="AJ13" s="22"/>
      <c r="AK13" s="22">
        <v>1.3</v>
      </c>
      <c r="AL13" s="22">
        <v>1</v>
      </c>
      <c r="AM13" s="22">
        <v>1.3</v>
      </c>
      <c r="AN13" s="22">
        <v>1.3</v>
      </c>
      <c r="AO13" s="22">
        <v>1.3</v>
      </c>
      <c r="AP13" s="22">
        <v>1.3</v>
      </c>
      <c r="AQ13" s="22">
        <v>1.3</v>
      </c>
      <c r="AR13" s="22">
        <v>1.3</v>
      </c>
      <c r="AS13" s="22">
        <v>1.3</v>
      </c>
      <c r="AT13" s="22">
        <v>1.3</v>
      </c>
      <c r="AU13" s="22">
        <v>1.3</v>
      </c>
      <c r="AV13" s="22">
        <v>1.3</v>
      </c>
      <c r="AW13" s="22">
        <v>1.3</v>
      </c>
      <c r="AX13" s="22"/>
      <c r="AY13" s="22">
        <v>1.3</v>
      </c>
      <c r="AZ13" s="22">
        <v>1.3</v>
      </c>
      <c r="BA13" s="22">
        <v>1.3</v>
      </c>
      <c r="BB13" s="22">
        <v>1.3</v>
      </c>
      <c r="BC13" s="22"/>
      <c r="BD13" s="22">
        <v>1.3</v>
      </c>
      <c r="BE13" s="22">
        <v>1.3</v>
      </c>
      <c r="BF13" s="22"/>
      <c r="BG13" s="22">
        <v>1.3</v>
      </c>
      <c r="BH13" s="22"/>
      <c r="BI13" s="22"/>
      <c r="BJ13" s="22">
        <v>1.3</v>
      </c>
      <c r="BK13" s="22"/>
      <c r="BL13" s="22"/>
      <c r="BM13" s="22"/>
      <c r="BN13" s="22"/>
      <c r="BO13" s="22"/>
      <c r="BP13" s="22">
        <v>1.3</v>
      </c>
      <c r="BQ13" s="22">
        <v>1.3</v>
      </c>
      <c r="BR13" s="22"/>
      <c r="BS13" s="22"/>
      <c r="BT13" s="22"/>
      <c r="BU13" s="22">
        <v>1</v>
      </c>
      <c r="BV13" s="22">
        <v>1</v>
      </c>
      <c r="BW13" s="22">
        <v>1</v>
      </c>
      <c r="BX13" s="22"/>
      <c r="BY13" s="22"/>
      <c r="BZ13" s="22">
        <v>1.3</v>
      </c>
      <c r="CA13" s="22"/>
      <c r="CB13" s="22"/>
      <c r="CC13" s="22"/>
      <c r="CD13" s="22">
        <v>1</v>
      </c>
      <c r="CE13" s="22">
        <v>1</v>
      </c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3">
        <f>SUMPRODUCT(Table462[[#This Row],[1]:[100]],$F$2:$DA$2)</f>
        <v>252.88549481976665</v>
      </c>
      <c r="DC13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19.200000000000003</v>
      </c>
    </row>
    <row r="14" spans="1:107" x14ac:dyDescent="0.25">
      <c r="A14" s="27">
        <v>10</v>
      </c>
      <c r="B14" s="22" t="s">
        <v>333</v>
      </c>
      <c r="C14" s="22" t="s">
        <v>334</v>
      </c>
      <c r="D14" s="22" t="s">
        <v>346</v>
      </c>
      <c r="E14" s="22"/>
      <c r="F14" s="22"/>
      <c r="G14" s="22"/>
      <c r="H14" s="22">
        <v>1.3</v>
      </c>
      <c r="I14" s="22">
        <v>1.3</v>
      </c>
      <c r="J14" s="22">
        <v>1.3</v>
      </c>
      <c r="K14" s="22"/>
      <c r="L14" s="22"/>
      <c r="M14" s="22"/>
      <c r="N14" s="22"/>
      <c r="O14" s="22">
        <v>1.3</v>
      </c>
      <c r="P14" s="22">
        <v>1.3</v>
      </c>
      <c r="Q14" s="22"/>
      <c r="R14" s="22">
        <v>1.3</v>
      </c>
      <c r="S14" s="22"/>
      <c r="T14" s="22">
        <v>1.3</v>
      </c>
      <c r="U14" s="22">
        <v>1.3</v>
      </c>
      <c r="V14" s="22"/>
      <c r="W14" s="22">
        <v>1.3</v>
      </c>
      <c r="X14" s="22"/>
      <c r="Y14" s="22">
        <v>1.3</v>
      </c>
      <c r="Z14" s="22"/>
      <c r="AA14" s="22"/>
      <c r="AB14" s="22"/>
      <c r="AC14" s="22"/>
      <c r="AD14" s="22"/>
      <c r="AE14" s="22"/>
      <c r="AF14" s="22">
        <v>1.3</v>
      </c>
      <c r="AG14" s="22"/>
      <c r="AH14" s="22"/>
      <c r="AI14" s="22"/>
      <c r="AJ14" s="22"/>
      <c r="AK14" s="22">
        <v>1.3</v>
      </c>
      <c r="AL14" s="22">
        <v>1.3</v>
      </c>
      <c r="AM14" s="22"/>
      <c r="AN14" s="22"/>
      <c r="AO14" s="22"/>
      <c r="AP14" s="22"/>
      <c r="AQ14" s="22">
        <v>1.3</v>
      </c>
      <c r="AR14" s="22"/>
      <c r="AS14" s="22"/>
      <c r="AT14" s="22">
        <v>1.3</v>
      </c>
      <c r="AU14" s="22"/>
      <c r="AV14" s="22"/>
      <c r="AW14" s="22">
        <v>1.3</v>
      </c>
      <c r="AX14" s="22"/>
      <c r="AY14" s="22"/>
      <c r="AZ14" s="22"/>
      <c r="BA14" s="22">
        <v>1</v>
      </c>
      <c r="BB14" s="22">
        <v>1.3</v>
      </c>
      <c r="BC14" s="22"/>
      <c r="BD14" s="22">
        <v>1.3</v>
      </c>
      <c r="BE14" s="22">
        <v>1.3</v>
      </c>
      <c r="BF14" s="22"/>
      <c r="BG14" s="22"/>
      <c r="BH14" s="22"/>
      <c r="BI14" s="22"/>
      <c r="BJ14" s="22">
        <v>1.3</v>
      </c>
      <c r="BK14" s="22"/>
      <c r="BL14" s="22"/>
      <c r="BM14" s="22"/>
      <c r="BN14" s="22"/>
      <c r="BO14" s="22"/>
      <c r="BP14" s="22"/>
      <c r="BQ14" s="22">
        <v>1.3</v>
      </c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>
        <v>1.3</v>
      </c>
      <c r="CC14" s="22"/>
      <c r="CD14" s="22"/>
      <c r="CE14" s="22">
        <v>1.3</v>
      </c>
      <c r="CF14" s="22">
        <v>1.3</v>
      </c>
      <c r="CG14" s="22"/>
      <c r="CH14" s="22">
        <v>1</v>
      </c>
      <c r="CI14" s="22"/>
      <c r="CJ14" s="22"/>
      <c r="CK14" s="22">
        <v>1</v>
      </c>
      <c r="CL14" s="22"/>
      <c r="CM14" s="22"/>
      <c r="CN14" s="22"/>
      <c r="CO14" s="22"/>
      <c r="CP14" s="22"/>
      <c r="CQ14" s="22">
        <v>1.3</v>
      </c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3">
        <f>SUMPRODUCT(Table462[[#This Row],[1]:[100]],$F$2:$DA$2)</f>
        <v>245.44515642498669</v>
      </c>
      <c r="DC14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13.000000000000002</v>
      </c>
    </row>
    <row r="15" spans="1:107" x14ac:dyDescent="0.25">
      <c r="A15" s="27">
        <v>11</v>
      </c>
      <c r="B15" s="22" t="s">
        <v>321</v>
      </c>
      <c r="C15" s="22" t="s">
        <v>322</v>
      </c>
      <c r="D15" s="22" t="s">
        <v>346</v>
      </c>
      <c r="E15" s="22" t="s">
        <v>349</v>
      </c>
      <c r="F15" s="22">
        <v>1.3</v>
      </c>
      <c r="G15" s="22">
        <v>1.3</v>
      </c>
      <c r="H15" s="22">
        <v>1.3</v>
      </c>
      <c r="I15" s="22">
        <v>1.3</v>
      </c>
      <c r="J15" s="22">
        <v>1.3</v>
      </c>
      <c r="K15" s="22">
        <v>1.3</v>
      </c>
      <c r="L15" s="22">
        <v>1.3</v>
      </c>
      <c r="M15" s="22">
        <v>1.3</v>
      </c>
      <c r="N15" s="22">
        <v>1.3</v>
      </c>
      <c r="O15" s="22">
        <v>1.3</v>
      </c>
      <c r="P15" s="22">
        <v>1.3</v>
      </c>
      <c r="Q15" s="22">
        <v>1.3</v>
      </c>
      <c r="R15" s="22">
        <v>1.3</v>
      </c>
      <c r="S15" s="22">
        <v>1.3</v>
      </c>
      <c r="T15" s="22">
        <v>1.3</v>
      </c>
      <c r="U15" s="22">
        <v>1.3</v>
      </c>
      <c r="V15" s="22">
        <v>1.3</v>
      </c>
      <c r="W15" s="22">
        <v>1.3</v>
      </c>
      <c r="X15" s="22">
        <v>1.3</v>
      </c>
      <c r="Y15" s="22">
        <v>1</v>
      </c>
      <c r="Z15" s="22">
        <v>1.3</v>
      </c>
      <c r="AA15" s="22">
        <v>1</v>
      </c>
      <c r="AB15" s="22"/>
      <c r="AC15" s="22">
        <v>1.3</v>
      </c>
      <c r="AD15" s="22">
        <v>1</v>
      </c>
      <c r="AE15" s="22"/>
      <c r="AF15" s="22">
        <v>1.3</v>
      </c>
      <c r="AG15" s="22">
        <v>1.3</v>
      </c>
      <c r="AH15" s="22">
        <v>1</v>
      </c>
      <c r="AI15" s="22">
        <v>1.3</v>
      </c>
      <c r="AJ15" s="22">
        <v>1.3</v>
      </c>
      <c r="AK15" s="22">
        <v>1.3</v>
      </c>
      <c r="AL15" s="22">
        <v>1.3</v>
      </c>
      <c r="AM15" s="22">
        <v>1.3</v>
      </c>
      <c r="AN15" s="22">
        <v>1.3</v>
      </c>
      <c r="AO15" s="22">
        <v>1.3</v>
      </c>
      <c r="AP15" s="22">
        <v>1.3</v>
      </c>
      <c r="AQ15" s="22">
        <v>1.3</v>
      </c>
      <c r="AR15" s="22">
        <v>1.3</v>
      </c>
      <c r="AS15" s="22">
        <v>1.3</v>
      </c>
      <c r="AT15" s="22">
        <v>1.3</v>
      </c>
      <c r="AU15" s="22">
        <v>1.3</v>
      </c>
      <c r="AV15" s="22">
        <v>1.3</v>
      </c>
      <c r="AW15" s="22">
        <v>1.3</v>
      </c>
      <c r="AX15" s="22"/>
      <c r="AY15" s="22">
        <v>1.3</v>
      </c>
      <c r="AZ15" s="22">
        <v>1</v>
      </c>
      <c r="BA15" s="22">
        <v>1.3</v>
      </c>
      <c r="BB15" s="22">
        <v>1.3</v>
      </c>
      <c r="BC15" s="22">
        <v>1</v>
      </c>
      <c r="BD15" s="22">
        <v>1.3</v>
      </c>
      <c r="BE15" s="22">
        <v>1.3</v>
      </c>
      <c r="BF15" s="22"/>
      <c r="BG15" s="22">
        <v>1.3</v>
      </c>
      <c r="BH15" s="22">
        <v>1</v>
      </c>
      <c r="BI15" s="22"/>
      <c r="BJ15" s="22">
        <v>1</v>
      </c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>
        <v>1.3</v>
      </c>
      <c r="BZ15" s="22"/>
      <c r="CA15" s="22"/>
      <c r="CB15" s="22">
        <v>1.3</v>
      </c>
      <c r="CC15" s="22">
        <v>1</v>
      </c>
      <c r="CD15" s="22">
        <v>1.3</v>
      </c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3">
        <f>SUMPRODUCT(Table462[[#This Row],[1]:[100]],$F$2:$DA$2)</f>
        <v>232.61073677509836</v>
      </c>
      <c r="DC15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20.200000000000003</v>
      </c>
    </row>
    <row r="16" spans="1:107" x14ac:dyDescent="0.25">
      <c r="A16" s="27">
        <v>12</v>
      </c>
      <c r="B16" s="22" t="s">
        <v>150</v>
      </c>
      <c r="C16" s="22" t="s">
        <v>171</v>
      </c>
      <c r="D16" s="22" t="s">
        <v>346</v>
      </c>
      <c r="E16" s="22" t="s">
        <v>172</v>
      </c>
      <c r="F16" s="22">
        <v>1.3</v>
      </c>
      <c r="G16" s="22">
        <v>1.3</v>
      </c>
      <c r="H16" s="22">
        <v>1.3</v>
      </c>
      <c r="I16" s="22">
        <v>1.3</v>
      </c>
      <c r="J16" s="22">
        <v>1.3</v>
      </c>
      <c r="K16" s="22">
        <v>1.3</v>
      </c>
      <c r="L16" s="22">
        <v>1.3</v>
      </c>
      <c r="M16" s="22">
        <v>1.3</v>
      </c>
      <c r="N16" s="22">
        <v>1.3</v>
      </c>
      <c r="O16" s="22">
        <v>1.3</v>
      </c>
      <c r="P16" s="22">
        <v>1.3</v>
      </c>
      <c r="Q16" s="22">
        <v>1.3</v>
      </c>
      <c r="R16" s="22">
        <v>1.3</v>
      </c>
      <c r="S16" s="22">
        <v>1.3</v>
      </c>
      <c r="T16" s="22">
        <v>1.3</v>
      </c>
      <c r="U16" s="22">
        <v>1.3</v>
      </c>
      <c r="V16" s="22">
        <v>1.3</v>
      </c>
      <c r="W16" s="22">
        <v>1.3</v>
      </c>
      <c r="X16" s="22">
        <v>1.3</v>
      </c>
      <c r="Y16" s="22">
        <v>1</v>
      </c>
      <c r="Z16" s="22"/>
      <c r="AA16" s="22"/>
      <c r="AB16" s="22">
        <v>1</v>
      </c>
      <c r="AC16" s="22"/>
      <c r="AD16" s="22"/>
      <c r="AE16" s="22"/>
      <c r="AF16" s="22">
        <v>1.3</v>
      </c>
      <c r="AG16" s="22"/>
      <c r="AH16" s="22"/>
      <c r="AI16" s="22">
        <v>1.3</v>
      </c>
      <c r="AJ16" s="22">
        <v>1</v>
      </c>
      <c r="AK16" s="22">
        <v>1.3</v>
      </c>
      <c r="AL16" s="22"/>
      <c r="AM16" s="22">
        <v>1</v>
      </c>
      <c r="AN16" s="22">
        <v>1.3</v>
      </c>
      <c r="AO16" s="22"/>
      <c r="AP16" s="22">
        <v>1.3</v>
      </c>
      <c r="AQ16" s="22">
        <v>1.3</v>
      </c>
      <c r="AR16" s="22">
        <v>1.3</v>
      </c>
      <c r="AS16" s="22">
        <v>1.3</v>
      </c>
      <c r="AT16" s="22">
        <v>1.3</v>
      </c>
      <c r="AU16" s="22">
        <v>1.3</v>
      </c>
      <c r="AV16" s="22">
        <v>1.3</v>
      </c>
      <c r="AW16" s="22">
        <v>1.3</v>
      </c>
      <c r="AX16" s="22"/>
      <c r="AY16" s="22">
        <v>1.3</v>
      </c>
      <c r="AZ16" s="22"/>
      <c r="BA16" s="22"/>
      <c r="BB16" s="22">
        <v>1.3</v>
      </c>
      <c r="BC16" s="22">
        <v>1</v>
      </c>
      <c r="BD16" s="22">
        <v>1.3</v>
      </c>
      <c r="BE16" s="22">
        <v>1.3</v>
      </c>
      <c r="BF16" s="22">
        <v>1.3</v>
      </c>
      <c r="BG16" s="22">
        <v>1.3</v>
      </c>
      <c r="BH16" s="22">
        <v>1.3</v>
      </c>
      <c r="BI16" s="22"/>
      <c r="BJ16" s="22">
        <v>1.3</v>
      </c>
      <c r="BK16" s="22">
        <v>1</v>
      </c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>
        <v>1.3</v>
      </c>
      <c r="CA16" s="22"/>
      <c r="CB16" s="22">
        <v>1</v>
      </c>
      <c r="CC16" s="22">
        <v>1</v>
      </c>
      <c r="CD16" s="22">
        <v>1.3</v>
      </c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3">
        <f>SUMPRODUCT(Table462[[#This Row],[1]:[100]],$F$2:$DA$2)</f>
        <v>229.25038288209723</v>
      </c>
      <c r="DC16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20.200000000000003</v>
      </c>
    </row>
    <row r="17" spans="1:107" x14ac:dyDescent="0.25">
      <c r="A17" s="27">
        <v>13</v>
      </c>
      <c r="B17" s="22" t="s">
        <v>140</v>
      </c>
      <c r="C17" s="22" t="s">
        <v>233</v>
      </c>
      <c r="D17" s="22" t="s">
        <v>346</v>
      </c>
      <c r="E17" s="22" t="s">
        <v>152</v>
      </c>
      <c r="F17" s="22">
        <v>1.3</v>
      </c>
      <c r="G17" s="22">
        <v>1.3</v>
      </c>
      <c r="H17" s="22">
        <v>1.3</v>
      </c>
      <c r="I17" s="22">
        <v>1.3</v>
      </c>
      <c r="J17" s="22">
        <v>1.3</v>
      </c>
      <c r="K17" s="22">
        <v>1.3</v>
      </c>
      <c r="L17" s="22">
        <v>1.3</v>
      </c>
      <c r="M17" s="22"/>
      <c r="N17" s="22"/>
      <c r="O17" s="22">
        <v>1.3</v>
      </c>
      <c r="P17" s="22">
        <v>1.3</v>
      </c>
      <c r="Q17" s="22">
        <v>1.3</v>
      </c>
      <c r="R17" s="22">
        <v>1.3</v>
      </c>
      <c r="S17" s="22">
        <v>1.3</v>
      </c>
      <c r="T17" s="22">
        <v>1.3</v>
      </c>
      <c r="U17" s="22">
        <v>1.3</v>
      </c>
      <c r="V17" s="22">
        <v>1.3</v>
      </c>
      <c r="W17" s="22">
        <v>1.3</v>
      </c>
      <c r="X17" s="22">
        <v>1.3</v>
      </c>
      <c r="Y17" s="22"/>
      <c r="Z17" s="22">
        <v>1.3</v>
      </c>
      <c r="AA17" s="22"/>
      <c r="AB17" s="22">
        <v>1</v>
      </c>
      <c r="AC17" s="22"/>
      <c r="AD17" s="22"/>
      <c r="AE17" s="22"/>
      <c r="AF17" s="22">
        <v>1.3</v>
      </c>
      <c r="AG17" s="22"/>
      <c r="AH17" s="22"/>
      <c r="AI17" s="22">
        <v>1.3</v>
      </c>
      <c r="AJ17" s="22"/>
      <c r="AK17" s="22">
        <v>1</v>
      </c>
      <c r="AL17" s="22"/>
      <c r="AM17" s="22">
        <v>1</v>
      </c>
      <c r="AN17" s="22">
        <v>1.3</v>
      </c>
      <c r="AO17" s="22"/>
      <c r="AP17" s="22">
        <v>1.3</v>
      </c>
      <c r="AQ17" s="22">
        <v>1</v>
      </c>
      <c r="AR17" s="22">
        <v>1</v>
      </c>
      <c r="AS17" s="22">
        <v>1.3</v>
      </c>
      <c r="AT17" s="22"/>
      <c r="AU17" s="22">
        <v>1.3</v>
      </c>
      <c r="AV17" s="22">
        <v>1.3</v>
      </c>
      <c r="AW17" s="22">
        <v>1.3</v>
      </c>
      <c r="AX17" s="22">
        <v>1.3</v>
      </c>
      <c r="AY17" s="22">
        <v>1</v>
      </c>
      <c r="AZ17" s="22">
        <v>1.3</v>
      </c>
      <c r="BA17" s="22"/>
      <c r="BB17" s="22">
        <v>1</v>
      </c>
      <c r="BC17" s="22"/>
      <c r="BD17" s="22">
        <v>1.3</v>
      </c>
      <c r="BE17" s="22">
        <v>1.3</v>
      </c>
      <c r="BF17" s="22"/>
      <c r="BG17" s="22">
        <v>1</v>
      </c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>
        <v>1</v>
      </c>
      <c r="CC17" s="22"/>
      <c r="CD17" s="22"/>
      <c r="CE17" s="22">
        <v>1.3</v>
      </c>
      <c r="CF17" s="22"/>
      <c r="CG17" s="22"/>
      <c r="CH17" s="22"/>
      <c r="CI17" s="22"/>
      <c r="CJ17" s="22">
        <v>1</v>
      </c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3">
        <f>SUMPRODUCT(Table462[[#This Row],[1]:[100]],$F$2:$DA$2)</f>
        <v>223.58925514472617</v>
      </c>
      <c r="DC17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14.400000000000002</v>
      </c>
    </row>
    <row r="18" spans="1:107" x14ac:dyDescent="0.25">
      <c r="A18" s="27">
        <v>14</v>
      </c>
      <c r="B18" s="22" t="s">
        <v>313</v>
      </c>
      <c r="C18" s="22" t="s">
        <v>314</v>
      </c>
      <c r="D18" s="22" t="s">
        <v>317</v>
      </c>
      <c r="E18" s="22" t="s">
        <v>253</v>
      </c>
      <c r="F18" s="22">
        <v>1.3</v>
      </c>
      <c r="G18" s="22">
        <v>1.3</v>
      </c>
      <c r="H18" s="22">
        <v>1.3</v>
      </c>
      <c r="I18" s="22">
        <v>1.3</v>
      </c>
      <c r="J18" s="22">
        <v>1.3</v>
      </c>
      <c r="K18" s="22">
        <v>1.3</v>
      </c>
      <c r="L18" s="22">
        <v>1.3</v>
      </c>
      <c r="M18" s="22">
        <v>1.3</v>
      </c>
      <c r="N18" s="22">
        <v>1.3</v>
      </c>
      <c r="O18" s="22">
        <v>1.3</v>
      </c>
      <c r="P18" s="22">
        <v>1</v>
      </c>
      <c r="Q18" s="22">
        <v>1.3</v>
      </c>
      <c r="R18" s="22">
        <v>1.3</v>
      </c>
      <c r="S18" s="22">
        <v>1.3</v>
      </c>
      <c r="T18" s="22">
        <v>1.3</v>
      </c>
      <c r="U18" s="22">
        <v>1.3</v>
      </c>
      <c r="V18" s="22">
        <v>1.3</v>
      </c>
      <c r="W18" s="22">
        <v>1.3</v>
      </c>
      <c r="X18" s="22">
        <v>1.3</v>
      </c>
      <c r="Y18" s="22">
        <v>1.3</v>
      </c>
      <c r="Z18" s="22">
        <v>1.3</v>
      </c>
      <c r="AA18" s="22"/>
      <c r="AB18" s="22">
        <v>1</v>
      </c>
      <c r="AC18" s="22">
        <v>1.3</v>
      </c>
      <c r="AD18" s="22"/>
      <c r="AE18" s="22">
        <v>1</v>
      </c>
      <c r="AF18" s="22">
        <v>1.3</v>
      </c>
      <c r="AG18" s="22"/>
      <c r="AH18" s="22"/>
      <c r="AI18" s="22">
        <v>1.3</v>
      </c>
      <c r="AJ18" s="22"/>
      <c r="AK18" s="22">
        <v>1.3</v>
      </c>
      <c r="AL18" s="22"/>
      <c r="AM18" s="22"/>
      <c r="AN18" s="22">
        <v>1.3</v>
      </c>
      <c r="AO18" s="22"/>
      <c r="AP18" s="22">
        <v>1.3</v>
      </c>
      <c r="AQ18" s="22"/>
      <c r="AR18" s="22">
        <v>1.3</v>
      </c>
      <c r="AS18" s="22">
        <v>1.3</v>
      </c>
      <c r="AT18" s="22"/>
      <c r="AU18" s="22">
        <v>1.3</v>
      </c>
      <c r="AV18" s="22">
        <v>1.3</v>
      </c>
      <c r="AW18" s="22">
        <v>1.3</v>
      </c>
      <c r="AX18" s="22"/>
      <c r="AY18" s="22">
        <v>1.3</v>
      </c>
      <c r="AZ18" s="22">
        <v>1.3</v>
      </c>
      <c r="BA18" s="22">
        <v>1.3</v>
      </c>
      <c r="BB18" s="22">
        <v>1.3</v>
      </c>
      <c r="BC18" s="22">
        <v>1</v>
      </c>
      <c r="BD18" s="22">
        <v>1.3</v>
      </c>
      <c r="BE18" s="22">
        <v>1.3</v>
      </c>
      <c r="BF18" s="22"/>
      <c r="BG18" s="22">
        <v>1.3</v>
      </c>
      <c r="BH18" s="22">
        <v>1</v>
      </c>
      <c r="BI18" s="22"/>
      <c r="BJ18" s="22">
        <v>1</v>
      </c>
      <c r="BK18" s="22"/>
      <c r="BL18" s="22"/>
      <c r="BM18" s="22">
        <v>1</v>
      </c>
      <c r="BN18" s="22"/>
      <c r="BO18" s="22"/>
      <c r="BP18" s="22"/>
      <c r="BQ18" s="22">
        <v>1.3</v>
      </c>
      <c r="BR18" s="22"/>
      <c r="BS18" s="22"/>
      <c r="BT18" s="22"/>
      <c r="BU18" s="22"/>
      <c r="BV18" s="22"/>
      <c r="BW18" s="22"/>
      <c r="BX18" s="22"/>
      <c r="BY18" s="22">
        <v>1.3</v>
      </c>
      <c r="BZ18" s="22"/>
      <c r="CA18" s="22"/>
      <c r="CB18" s="22">
        <v>1.3</v>
      </c>
      <c r="CC18" s="22">
        <v>1</v>
      </c>
      <c r="CD18" s="22">
        <v>1.3</v>
      </c>
      <c r="CE18" s="22">
        <v>1.3</v>
      </c>
      <c r="CF18" s="22">
        <v>1.3</v>
      </c>
      <c r="CG18" s="22"/>
      <c r="CH18" s="22"/>
      <c r="CI18" s="22"/>
      <c r="CJ18" s="22"/>
      <c r="CK18" s="22">
        <v>1</v>
      </c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4">
        <f>SUMPRODUCT(Table462[[#This Row],[1]:[100]],$F$2:$DA$2)</f>
        <v>219.83235815202173</v>
      </c>
      <c r="DC18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21.200000000000006</v>
      </c>
    </row>
    <row r="19" spans="1:107" x14ac:dyDescent="0.25">
      <c r="A19" s="27">
        <v>15</v>
      </c>
      <c r="B19" s="22" t="s">
        <v>167</v>
      </c>
      <c r="C19" s="22" t="s">
        <v>168</v>
      </c>
      <c r="D19" s="22" t="s">
        <v>129</v>
      </c>
      <c r="E19" s="22" t="s">
        <v>130</v>
      </c>
      <c r="F19" s="22">
        <v>1.3</v>
      </c>
      <c r="G19" s="22"/>
      <c r="H19" s="22"/>
      <c r="I19" s="22"/>
      <c r="J19" s="22"/>
      <c r="K19" s="22"/>
      <c r="L19" s="22">
        <v>1.3</v>
      </c>
      <c r="M19" s="22">
        <v>1.3</v>
      </c>
      <c r="N19" s="22"/>
      <c r="O19" s="22">
        <v>1.3</v>
      </c>
      <c r="P19" s="22">
        <v>1.3</v>
      </c>
      <c r="Q19" s="22">
        <v>1.3</v>
      </c>
      <c r="R19" s="22"/>
      <c r="S19" s="22"/>
      <c r="T19" s="22">
        <v>1.3</v>
      </c>
      <c r="U19" s="22"/>
      <c r="V19" s="22"/>
      <c r="W19" s="22"/>
      <c r="X19" s="22"/>
      <c r="Y19" s="22">
        <v>1</v>
      </c>
      <c r="Z19" s="22"/>
      <c r="AA19" s="22"/>
      <c r="AB19" s="22">
        <v>1.3</v>
      </c>
      <c r="AC19" s="22">
        <v>1.3</v>
      </c>
      <c r="AD19" s="22"/>
      <c r="AE19" s="22"/>
      <c r="AF19" s="22"/>
      <c r="AG19" s="22"/>
      <c r="AH19" s="22"/>
      <c r="AI19" s="22"/>
      <c r="AJ19" s="22"/>
      <c r="AK19" s="22"/>
      <c r="AL19" s="22"/>
      <c r="AM19" s="22">
        <v>1</v>
      </c>
      <c r="AN19" s="22"/>
      <c r="AO19" s="22"/>
      <c r="AP19" s="22"/>
      <c r="AQ19" s="22">
        <v>1</v>
      </c>
      <c r="AR19" s="22">
        <v>1.3</v>
      </c>
      <c r="AS19" s="22"/>
      <c r="AT19" s="22"/>
      <c r="AU19" s="22">
        <v>1.3</v>
      </c>
      <c r="AV19" s="22"/>
      <c r="AW19" s="22">
        <v>1</v>
      </c>
      <c r="AX19" s="22">
        <v>1.3</v>
      </c>
      <c r="AY19" s="22"/>
      <c r="AZ19" s="22">
        <v>1.3</v>
      </c>
      <c r="BA19" s="22">
        <v>1</v>
      </c>
      <c r="BB19" s="22"/>
      <c r="BC19" s="22"/>
      <c r="BD19" s="22"/>
      <c r="BE19" s="22"/>
      <c r="BF19" s="22"/>
      <c r="BG19" s="22">
        <v>1.3</v>
      </c>
      <c r="BH19" s="22">
        <v>1</v>
      </c>
      <c r="BI19" s="22"/>
      <c r="BJ19" s="22">
        <v>1.3</v>
      </c>
      <c r="BK19" s="22"/>
      <c r="BL19" s="22"/>
      <c r="BM19" s="22"/>
      <c r="BN19" s="22"/>
      <c r="BO19" s="22"/>
      <c r="BP19" s="22">
        <v>1</v>
      </c>
      <c r="BQ19" s="22">
        <v>1.3</v>
      </c>
      <c r="BR19" s="22"/>
      <c r="BS19" s="22"/>
      <c r="BT19" s="22"/>
      <c r="BU19" s="22">
        <v>1</v>
      </c>
      <c r="BV19" s="22">
        <v>1</v>
      </c>
      <c r="BW19" s="22">
        <v>1</v>
      </c>
      <c r="BX19" s="22">
        <v>1</v>
      </c>
      <c r="BY19" s="22">
        <v>1.3</v>
      </c>
      <c r="BZ19" s="22">
        <v>1.3</v>
      </c>
      <c r="CA19" s="22"/>
      <c r="CB19" s="22">
        <v>1</v>
      </c>
      <c r="CC19" s="22"/>
      <c r="CD19" s="22"/>
      <c r="CE19" s="22"/>
      <c r="CF19" s="22">
        <v>1</v>
      </c>
      <c r="CG19" s="22"/>
      <c r="CH19" s="22">
        <v>1</v>
      </c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4">
        <f>SUMPRODUCT(Table462[[#This Row],[1]:[100]],$F$2:$DA$2)</f>
        <v>215.0150779938744</v>
      </c>
      <c r="DC19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10.199999999999999</v>
      </c>
    </row>
    <row r="20" spans="1:107" x14ac:dyDescent="0.25">
      <c r="A20" s="27">
        <v>16</v>
      </c>
      <c r="B20" s="22" t="s">
        <v>351</v>
      </c>
      <c r="C20" s="22" t="s">
        <v>352</v>
      </c>
      <c r="D20" s="22" t="s">
        <v>346</v>
      </c>
      <c r="E20" s="22"/>
      <c r="F20" s="22">
        <v>1.3</v>
      </c>
      <c r="G20" s="22">
        <v>1.3</v>
      </c>
      <c r="H20" s="22">
        <v>1.3</v>
      </c>
      <c r="I20" s="22">
        <v>1.3</v>
      </c>
      <c r="J20" s="22">
        <v>1.3</v>
      </c>
      <c r="K20" s="22">
        <v>1.3</v>
      </c>
      <c r="L20" s="22">
        <v>1.3</v>
      </c>
      <c r="M20" s="22">
        <v>1</v>
      </c>
      <c r="N20" s="22"/>
      <c r="O20" s="22">
        <v>1.3</v>
      </c>
      <c r="P20" s="22">
        <v>1.3</v>
      </c>
      <c r="Q20" s="22">
        <v>1.3</v>
      </c>
      <c r="R20" s="22">
        <v>1.3</v>
      </c>
      <c r="S20" s="22">
        <v>1.3</v>
      </c>
      <c r="T20" s="22">
        <v>1.3</v>
      </c>
      <c r="U20" s="22">
        <v>1.3</v>
      </c>
      <c r="V20" s="22">
        <v>1.3</v>
      </c>
      <c r="W20" s="22">
        <v>1.3</v>
      </c>
      <c r="X20" s="22">
        <v>1.3</v>
      </c>
      <c r="Y20" s="22">
        <v>1.3</v>
      </c>
      <c r="Z20" s="22">
        <v>1.3</v>
      </c>
      <c r="AA20" s="22"/>
      <c r="AB20" s="22">
        <v>1</v>
      </c>
      <c r="AC20" s="22">
        <v>1</v>
      </c>
      <c r="AD20" s="22">
        <v>1</v>
      </c>
      <c r="AE20" s="22">
        <v>1</v>
      </c>
      <c r="AF20" s="22">
        <v>1.3</v>
      </c>
      <c r="AG20" s="22"/>
      <c r="AH20" s="22"/>
      <c r="AI20" s="22"/>
      <c r="AJ20" s="22">
        <v>1.3</v>
      </c>
      <c r="AK20" s="22">
        <v>1.3</v>
      </c>
      <c r="AL20" s="22">
        <v>1</v>
      </c>
      <c r="AM20" s="22">
        <v>1</v>
      </c>
      <c r="AN20" s="22">
        <v>1.3</v>
      </c>
      <c r="AO20" s="22"/>
      <c r="AP20" s="22">
        <v>1.3</v>
      </c>
      <c r="AQ20" s="22">
        <v>1</v>
      </c>
      <c r="AR20" s="22">
        <v>1.3</v>
      </c>
      <c r="AS20" s="22">
        <v>1.3</v>
      </c>
      <c r="AT20" s="22">
        <v>1.3</v>
      </c>
      <c r="AU20" s="22">
        <v>1.3</v>
      </c>
      <c r="AV20" s="22">
        <v>1.3</v>
      </c>
      <c r="AW20" s="22"/>
      <c r="AX20" s="22"/>
      <c r="AY20" s="22">
        <v>1.3</v>
      </c>
      <c r="AZ20" s="22">
        <v>1</v>
      </c>
      <c r="BA20" s="22">
        <v>1</v>
      </c>
      <c r="BB20" s="22">
        <v>1.3</v>
      </c>
      <c r="BC20" s="22"/>
      <c r="BD20" s="22">
        <v>1.3</v>
      </c>
      <c r="BE20" s="22">
        <v>1.3</v>
      </c>
      <c r="BF20" s="22"/>
      <c r="BG20" s="22">
        <v>1</v>
      </c>
      <c r="BH20" s="22"/>
      <c r="BI20" s="22"/>
      <c r="BJ20" s="22">
        <v>1</v>
      </c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>
        <v>1</v>
      </c>
      <c r="BW20" s="22"/>
      <c r="BX20" s="22"/>
      <c r="BY20" s="22">
        <v>1</v>
      </c>
      <c r="BZ20" s="22"/>
      <c r="CA20" s="22">
        <v>1</v>
      </c>
      <c r="CB20" s="22">
        <v>1</v>
      </c>
      <c r="CC20" s="22">
        <v>1</v>
      </c>
      <c r="CD20" s="22"/>
      <c r="CE20" s="22"/>
      <c r="CF20" s="22"/>
      <c r="CG20" s="22"/>
      <c r="CH20" s="22">
        <v>1</v>
      </c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4">
        <f>SUMPRODUCT(Table462[[#This Row],[1]:[100]],$F$2:$DA$2)</f>
        <v>210.4015596640763</v>
      </c>
      <c r="DC20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18.700000000000003</v>
      </c>
    </row>
    <row r="21" spans="1:107" x14ac:dyDescent="0.25">
      <c r="A21" s="27">
        <v>17</v>
      </c>
      <c r="B21" s="22" t="s">
        <v>202</v>
      </c>
      <c r="C21" s="22" t="s">
        <v>318</v>
      </c>
      <c r="D21" s="22" t="s">
        <v>346</v>
      </c>
      <c r="E21" s="22" t="s">
        <v>162</v>
      </c>
      <c r="F21" s="22">
        <v>1.3</v>
      </c>
      <c r="G21" s="22">
        <v>1.3</v>
      </c>
      <c r="H21" s="22">
        <v>1.3</v>
      </c>
      <c r="I21" s="22">
        <v>1.3</v>
      </c>
      <c r="J21" s="22">
        <v>1.3</v>
      </c>
      <c r="K21" s="22">
        <v>1.3</v>
      </c>
      <c r="L21" s="22">
        <v>1.3</v>
      </c>
      <c r="M21" s="22">
        <v>1.3</v>
      </c>
      <c r="N21" s="22">
        <v>1.3</v>
      </c>
      <c r="O21" s="22">
        <v>1.3</v>
      </c>
      <c r="P21" s="22">
        <v>1.3</v>
      </c>
      <c r="Q21" s="22">
        <v>1.3</v>
      </c>
      <c r="R21" s="22">
        <v>1.3</v>
      </c>
      <c r="S21" s="22">
        <v>1.3</v>
      </c>
      <c r="T21" s="22">
        <v>1.3</v>
      </c>
      <c r="U21" s="22">
        <v>1.3</v>
      </c>
      <c r="V21" s="22">
        <v>1.3</v>
      </c>
      <c r="W21" s="22">
        <v>1.3</v>
      </c>
      <c r="X21" s="22">
        <v>1.3</v>
      </c>
      <c r="Y21" s="22">
        <v>1.3</v>
      </c>
      <c r="Z21" s="22">
        <v>1.3</v>
      </c>
      <c r="AA21" s="22">
        <v>1.3</v>
      </c>
      <c r="AB21" s="22">
        <v>1.3</v>
      </c>
      <c r="AC21" s="22">
        <v>1.3</v>
      </c>
      <c r="AD21" s="22"/>
      <c r="AE21" s="22"/>
      <c r="AF21" s="22">
        <v>1.3</v>
      </c>
      <c r="AG21" s="22"/>
      <c r="AH21" s="22"/>
      <c r="AI21" s="22"/>
      <c r="AJ21" s="22"/>
      <c r="AK21" s="22">
        <v>1</v>
      </c>
      <c r="AL21" s="22"/>
      <c r="AM21" s="22">
        <v>1.3</v>
      </c>
      <c r="AN21" s="22">
        <v>1</v>
      </c>
      <c r="AO21" s="22"/>
      <c r="AP21" s="22">
        <v>1.3</v>
      </c>
      <c r="AQ21" s="22"/>
      <c r="AR21" s="22">
        <v>1.3</v>
      </c>
      <c r="AS21" s="22">
        <v>1.3</v>
      </c>
      <c r="AT21" s="22"/>
      <c r="AU21" s="22">
        <v>1.3</v>
      </c>
      <c r="AV21" s="22">
        <v>1.3</v>
      </c>
      <c r="AW21" s="22">
        <v>1.3</v>
      </c>
      <c r="AX21" s="22"/>
      <c r="AY21" s="22">
        <v>1.3</v>
      </c>
      <c r="AZ21" s="22"/>
      <c r="BA21" s="22">
        <v>1.3</v>
      </c>
      <c r="BB21" s="22">
        <v>1.3</v>
      </c>
      <c r="BC21" s="22"/>
      <c r="BD21" s="22">
        <v>1.3</v>
      </c>
      <c r="BE21" s="22">
        <v>1.3</v>
      </c>
      <c r="BF21" s="22"/>
      <c r="BG21" s="22">
        <v>1.3</v>
      </c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>
        <v>1.3</v>
      </c>
      <c r="BW21" s="22"/>
      <c r="BX21" s="22"/>
      <c r="BY21" s="22">
        <v>1.3</v>
      </c>
      <c r="BZ21" s="22"/>
      <c r="CA21" s="22">
        <v>1.3</v>
      </c>
      <c r="CB21" s="22">
        <v>1.3</v>
      </c>
      <c r="CC21" s="22"/>
      <c r="CD21" s="22"/>
      <c r="CE21" s="22"/>
      <c r="CF21" s="22"/>
      <c r="CG21" s="22"/>
      <c r="CH21" s="22">
        <v>1.3</v>
      </c>
      <c r="CI21" s="22"/>
      <c r="CJ21" s="22"/>
      <c r="CK21" s="22">
        <v>1.3</v>
      </c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4">
        <f>SUMPRODUCT(Table462[[#This Row],[1]:[100]],$F$2:$DA$2)</f>
        <v>206.65586195455643</v>
      </c>
      <c r="DC21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18.900000000000006</v>
      </c>
    </row>
    <row r="22" spans="1:107" x14ac:dyDescent="0.25">
      <c r="A22" s="27">
        <v>18</v>
      </c>
      <c r="B22" s="22" t="s">
        <v>323</v>
      </c>
      <c r="C22" s="22" t="s">
        <v>324</v>
      </c>
      <c r="D22" s="22" t="s">
        <v>346</v>
      </c>
      <c r="E22" s="22" t="s">
        <v>325</v>
      </c>
      <c r="F22" s="22">
        <v>1.3</v>
      </c>
      <c r="G22" s="22">
        <v>1.3</v>
      </c>
      <c r="H22" s="22">
        <v>1.3</v>
      </c>
      <c r="I22" s="22">
        <v>1.3</v>
      </c>
      <c r="J22" s="22">
        <v>1.3</v>
      </c>
      <c r="K22" s="22">
        <v>1.3</v>
      </c>
      <c r="L22" s="22">
        <v>1.3</v>
      </c>
      <c r="M22" s="22">
        <v>1</v>
      </c>
      <c r="N22" s="22">
        <v>1.3</v>
      </c>
      <c r="O22" s="22">
        <v>1.3</v>
      </c>
      <c r="P22" s="22">
        <v>1.3</v>
      </c>
      <c r="Q22" s="22">
        <v>1.3</v>
      </c>
      <c r="R22" s="22">
        <v>1.3</v>
      </c>
      <c r="S22" s="22">
        <v>1.3</v>
      </c>
      <c r="T22" s="22">
        <v>1.3</v>
      </c>
      <c r="U22" s="22">
        <v>1.3</v>
      </c>
      <c r="V22" s="22">
        <v>1.3</v>
      </c>
      <c r="W22" s="22">
        <v>1.3</v>
      </c>
      <c r="X22" s="22">
        <v>1.3</v>
      </c>
      <c r="Y22" s="22">
        <v>1</v>
      </c>
      <c r="Z22" s="22">
        <v>1.3</v>
      </c>
      <c r="AA22" s="22"/>
      <c r="AB22" s="22"/>
      <c r="AC22" s="22">
        <v>1.3</v>
      </c>
      <c r="AD22" s="22">
        <v>1</v>
      </c>
      <c r="AE22" s="22"/>
      <c r="AF22" s="22">
        <v>1.3</v>
      </c>
      <c r="AG22" s="22">
        <v>1</v>
      </c>
      <c r="AH22" s="22">
        <v>1</v>
      </c>
      <c r="AI22" s="22">
        <v>1.3</v>
      </c>
      <c r="AJ22" s="22">
        <v>1.3</v>
      </c>
      <c r="AK22" s="22">
        <v>1</v>
      </c>
      <c r="AL22" s="22">
        <v>1</v>
      </c>
      <c r="AM22" s="22">
        <v>1</v>
      </c>
      <c r="AN22" s="22">
        <v>1.3</v>
      </c>
      <c r="AO22" s="22">
        <v>1.3</v>
      </c>
      <c r="AP22" s="22">
        <v>1</v>
      </c>
      <c r="AQ22" s="22">
        <v>1</v>
      </c>
      <c r="AR22" s="22">
        <v>1.3</v>
      </c>
      <c r="AS22" s="22">
        <v>1.3</v>
      </c>
      <c r="AT22" s="22">
        <v>1.3</v>
      </c>
      <c r="AU22" s="22">
        <v>1.3</v>
      </c>
      <c r="AV22" s="22">
        <v>1.3</v>
      </c>
      <c r="AW22" s="22">
        <v>1.3</v>
      </c>
      <c r="AX22" s="22"/>
      <c r="AY22" s="22">
        <v>1.3</v>
      </c>
      <c r="AZ22" s="22">
        <v>1.3</v>
      </c>
      <c r="BA22" s="22">
        <v>1</v>
      </c>
      <c r="BB22" s="22">
        <v>1.3</v>
      </c>
      <c r="BC22" s="22">
        <v>1</v>
      </c>
      <c r="BD22" s="22">
        <v>1</v>
      </c>
      <c r="BE22" s="22">
        <v>1.3</v>
      </c>
      <c r="BF22" s="22"/>
      <c r="BG22" s="22">
        <v>1</v>
      </c>
      <c r="BH22" s="22">
        <v>1</v>
      </c>
      <c r="BI22" s="22"/>
      <c r="BJ22" s="22">
        <v>1.3</v>
      </c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>
        <v>1</v>
      </c>
      <c r="CC22" s="22"/>
      <c r="CD22" s="22">
        <v>1.3</v>
      </c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4">
        <f>SUMPRODUCT(Table462[[#This Row],[1]:[100]],$F$2:$DA$2)</f>
        <v>195.96130739644465</v>
      </c>
      <c r="DC22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17.000000000000004</v>
      </c>
    </row>
    <row r="23" spans="1:107" x14ac:dyDescent="0.25">
      <c r="A23" s="27">
        <v>19</v>
      </c>
      <c r="B23" s="22" t="s">
        <v>133</v>
      </c>
      <c r="C23" s="22" t="s">
        <v>269</v>
      </c>
      <c r="D23" s="22" t="s">
        <v>346</v>
      </c>
      <c r="E23" s="22" t="s">
        <v>149</v>
      </c>
      <c r="F23" s="22">
        <v>1.3</v>
      </c>
      <c r="G23" s="22">
        <v>1.3</v>
      </c>
      <c r="H23" s="22">
        <v>1.3</v>
      </c>
      <c r="I23" s="22">
        <v>1.3</v>
      </c>
      <c r="J23" s="22">
        <v>1.3</v>
      </c>
      <c r="K23" s="22">
        <v>1.3</v>
      </c>
      <c r="L23" s="22">
        <v>1.3</v>
      </c>
      <c r="M23" s="22"/>
      <c r="N23" s="22">
        <v>1</v>
      </c>
      <c r="O23" s="22">
        <v>1.3</v>
      </c>
      <c r="P23" s="22">
        <v>1</v>
      </c>
      <c r="Q23" s="22">
        <v>1.3</v>
      </c>
      <c r="R23" s="22">
        <v>1.3</v>
      </c>
      <c r="S23" s="22">
        <v>1.3</v>
      </c>
      <c r="T23" s="22">
        <v>1.3</v>
      </c>
      <c r="U23" s="22">
        <v>1.3</v>
      </c>
      <c r="V23" s="22">
        <v>1.3</v>
      </c>
      <c r="W23" s="22">
        <v>1.3</v>
      </c>
      <c r="X23" s="22">
        <v>1.3</v>
      </c>
      <c r="Y23" s="22">
        <v>1</v>
      </c>
      <c r="Z23" s="22">
        <v>1.3</v>
      </c>
      <c r="AA23" s="22"/>
      <c r="AB23" s="22">
        <v>1</v>
      </c>
      <c r="AC23" s="22">
        <v>1</v>
      </c>
      <c r="AD23" s="22"/>
      <c r="AE23" s="22"/>
      <c r="AF23" s="22">
        <v>1.3</v>
      </c>
      <c r="AG23" s="22">
        <v>1</v>
      </c>
      <c r="AH23" s="22">
        <v>1</v>
      </c>
      <c r="AI23" s="22">
        <v>1.3</v>
      </c>
      <c r="AJ23" s="22"/>
      <c r="AK23" s="22">
        <v>1</v>
      </c>
      <c r="AL23" s="22"/>
      <c r="AM23" s="22">
        <v>1.3</v>
      </c>
      <c r="AN23" s="22">
        <v>1.3</v>
      </c>
      <c r="AO23" s="22">
        <v>1</v>
      </c>
      <c r="AP23" s="22">
        <v>1.3</v>
      </c>
      <c r="AQ23" s="22">
        <v>1</v>
      </c>
      <c r="AR23" s="22">
        <v>1</v>
      </c>
      <c r="AS23" s="22">
        <v>1.3</v>
      </c>
      <c r="AT23" s="22">
        <v>1</v>
      </c>
      <c r="AU23" s="22">
        <v>1.3</v>
      </c>
      <c r="AV23" s="22">
        <v>1</v>
      </c>
      <c r="AW23" s="22">
        <v>1.3</v>
      </c>
      <c r="AX23" s="22"/>
      <c r="AY23" s="22">
        <v>1.3</v>
      </c>
      <c r="AZ23" s="22">
        <v>1.3</v>
      </c>
      <c r="BA23" s="22">
        <v>1</v>
      </c>
      <c r="BB23" s="22">
        <v>1.3</v>
      </c>
      <c r="BC23" s="22"/>
      <c r="BD23" s="22">
        <v>1.3</v>
      </c>
      <c r="BE23" s="22">
        <v>1.3</v>
      </c>
      <c r="BF23" s="22"/>
      <c r="BG23" s="22">
        <v>1.3</v>
      </c>
      <c r="BH23" s="22">
        <v>1</v>
      </c>
      <c r="BI23" s="22"/>
      <c r="BJ23" s="22">
        <v>1</v>
      </c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>
        <v>1</v>
      </c>
      <c r="BX23" s="22"/>
      <c r="BY23" s="22"/>
      <c r="BZ23" s="22"/>
      <c r="CA23" s="22"/>
      <c r="CB23" s="22">
        <v>1</v>
      </c>
      <c r="CC23" s="22">
        <v>1</v>
      </c>
      <c r="CD23" s="22">
        <v>1</v>
      </c>
      <c r="CE23" s="22">
        <v>1</v>
      </c>
      <c r="CF23" s="22">
        <v>1</v>
      </c>
      <c r="CG23" s="22"/>
      <c r="CH23" s="22">
        <v>1</v>
      </c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4">
        <f>SUMPRODUCT(Table462[[#This Row],[1]:[100]],$F$2:$DA$2)</f>
        <v>182.19243975852919</v>
      </c>
      <c r="DC23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17.400000000000002</v>
      </c>
    </row>
    <row r="24" spans="1:107" x14ac:dyDescent="0.25">
      <c r="A24" s="27">
        <v>20</v>
      </c>
      <c r="B24" s="22" t="s">
        <v>236</v>
      </c>
      <c r="C24" s="22" t="s">
        <v>237</v>
      </c>
      <c r="D24" s="22" t="s">
        <v>346</v>
      </c>
      <c r="E24" s="22" t="s">
        <v>238</v>
      </c>
      <c r="F24" s="22">
        <v>1.3</v>
      </c>
      <c r="G24" s="22">
        <v>1.3</v>
      </c>
      <c r="H24" s="22">
        <v>1.3</v>
      </c>
      <c r="I24" s="22">
        <v>1.3</v>
      </c>
      <c r="J24" s="22">
        <v>1.3</v>
      </c>
      <c r="K24" s="22">
        <v>1.3</v>
      </c>
      <c r="L24" s="22">
        <v>1.3</v>
      </c>
      <c r="M24" s="22">
        <v>1</v>
      </c>
      <c r="N24" s="22">
        <v>1.3</v>
      </c>
      <c r="O24" s="22">
        <v>1.3</v>
      </c>
      <c r="P24" s="22">
        <v>1</v>
      </c>
      <c r="Q24" s="22">
        <v>1.3</v>
      </c>
      <c r="R24" s="22">
        <v>1.3</v>
      </c>
      <c r="S24" s="22">
        <v>1.3</v>
      </c>
      <c r="T24" s="22">
        <v>1.3</v>
      </c>
      <c r="U24" s="22">
        <v>1.3</v>
      </c>
      <c r="V24" s="22">
        <v>1.3</v>
      </c>
      <c r="W24" s="22">
        <v>1.3</v>
      </c>
      <c r="X24" s="22">
        <v>1.3</v>
      </c>
      <c r="Y24" s="22">
        <v>1.3</v>
      </c>
      <c r="Z24" s="22">
        <v>1.3</v>
      </c>
      <c r="AA24" s="22"/>
      <c r="AB24" s="22">
        <v>1</v>
      </c>
      <c r="AC24" s="22">
        <v>1.3</v>
      </c>
      <c r="AD24" s="22"/>
      <c r="AE24" s="22"/>
      <c r="AF24" s="22">
        <v>1.3</v>
      </c>
      <c r="AG24" s="22"/>
      <c r="AH24" s="22">
        <v>1</v>
      </c>
      <c r="AI24" s="22">
        <v>1.3</v>
      </c>
      <c r="AJ24" s="22"/>
      <c r="AK24" s="22">
        <v>1.3</v>
      </c>
      <c r="AL24" s="22"/>
      <c r="AM24" s="22">
        <v>1</v>
      </c>
      <c r="AN24" s="22">
        <v>1.3</v>
      </c>
      <c r="AO24" s="22"/>
      <c r="AP24" s="22">
        <v>1.3</v>
      </c>
      <c r="AQ24" s="22">
        <v>1</v>
      </c>
      <c r="AR24" s="22">
        <v>1.3</v>
      </c>
      <c r="AS24" s="22">
        <v>1.3</v>
      </c>
      <c r="AT24" s="22">
        <v>1</v>
      </c>
      <c r="AU24" s="22">
        <v>1.3</v>
      </c>
      <c r="AV24" s="22">
        <v>1.3</v>
      </c>
      <c r="AW24" s="22">
        <v>1.3</v>
      </c>
      <c r="AX24" s="22"/>
      <c r="AY24" s="22">
        <v>1.3</v>
      </c>
      <c r="AZ24" s="22">
        <v>1</v>
      </c>
      <c r="BA24" s="22"/>
      <c r="BB24" s="22">
        <v>1</v>
      </c>
      <c r="BC24" s="22"/>
      <c r="BD24" s="22">
        <v>1.3</v>
      </c>
      <c r="BE24" s="22">
        <v>1.3</v>
      </c>
      <c r="BF24" s="22"/>
      <c r="BG24" s="22">
        <v>1.3</v>
      </c>
      <c r="BH24" s="22">
        <v>1</v>
      </c>
      <c r="BI24" s="22"/>
      <c r="BJ24" s="22">
        <v>1.3</v>
      </c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>
        <v>1</v>
      </c>
      <c r="BX24" s="22"/>
      <c r="BY24" s="22">
        <v>1</v>
      </c>
      <c r="BZ24" s="22"/>
      <c r="CA24" s="22"/>
      <c r="CB24" s="22">
        <v>1</v>
      </c>
      <c r="CC24" s="22">
        <v>1</v>
      </c>
      <c r="CD24" s="22">
        <v>1</v>
      </c>
      <c r="CE24" s="22">
        <v>1</v>
      </c>
      <c r="CF24" s="22"/>
      <c r="CG24" s="22"/>
      <c r="CH24" s="22">
        <v>1</v>
      </c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4">
        <f>SUMPRODUCT(Table462[[#This Row],[1]:[100]],$F$2:$DA$2)</f>
        <v>172.61886688874847</v>
      </c>
      <c r="DC24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19.600000000000001</v>
      </c>
    </row>
    <row r="25" spans="1:107" x14ac:dyDescent="0.25">
      <c r="A25" s="27">
        <v>21</v>
      </c>
      <c r="B25" s="22" t="s">
        <v>153</v>
      </c>
      <c r="C25" s="22" t="s">
        <v>154</v>
      </c>
      <c r="D25" s="22" t="s">
        <v>346</v>
      </c>
      <c r="E25" s="22" t="s">
        <v>152</v>
      </c>
      <c r="F25" s="22">
        <v>1.3</v>
      </c>
      <c r="G25" s="22">
        <v>1.3</v>
      </c>
      <c r="H25" s="22">
        <v>1.3</v>
      </c>
      <c r="I25" s="22">
        <v>1.3</v>
      </c>
      <c r="J25" s="22">
        <v>1.3</v>
      </c>
      <c r="K25" s="22">
        <v>1.3</v>
      </c>
      <c r="L25" s="22">
        <v>1.3</v>
      </c>
      <c r="M25" s="22">
        <v>1</v>
      </c>
      <c r="N25" s="22">
        <v>1.3</v>
      </c>
      <c r="O25" s="22">
        <v>1.3</v>
      </c>
      <c r="P25" s="22">
        <v>1.3</v>
      </c>
      <c r="Q25" s="22">
        <v>1.3</v>
      </c>
      <c r="R25" s="22">
        <v>1.3</v>
      </c>
      <c r="S25" s="22">
        <v>1.3</v>
      </c>
      <c r="T25" s="22">
        <v>1.3</v>
      </c>
      <c r="U25" s="22">
        <v>1.3</v>
      </c>
      <c r="V25" s="22">
        <v>1.3</v>
      </c>
      <c r="W25" s="22">
        <v>1.3</v>
      </c>
      <c r="X25" s="22">
        <v>1.3</v>
      </c>
      <c r="Y25" s="22">
        <v>1.3</v>
      </c>
      <c r="Z25" s="22">
        <v>1.3</v>
      </c>
      <c r="AA25" s="22"/>
      <c r="AB25" s="22">
        <v>1.3</v>
      </c>
      <c r="AC25" s="22">
        <v>1.3</v>
      </c>
      <c r="AD25" s="22"/>
      <c r="AE25" s="22"/>
      <c r="AF25" s="22">
        <v>1</v>
      </c>
      <c r="AG25" s="22"/>
      <c r="AH25" s="22"/>
      <c r="AI25" s="22">
        <v>1.3</v>
      </c>
      <c r="AJ25" s="22"/>
      <c r="AK25" s="22">
        <v>1</v>
      </c>
      <c r="AL25" s="22"/>
      <c r="AM25" s="22">
        <v>1</v>
      </c>
      <c r="AN25" s="22">
        <v>1</v>
      </c>
      <c r="AO25" s="22">
        <v>1</v>
      </c>
      <c r="AP25" s="22">
        <v>1.3</v>
      </c>
      <c r="AQ25" s="22">
        <v>1</v>
      </c>
      <c r="AR25" s="22">
        <v>1.3</v>
      </c>
      <c r="AS25" s="22">
        <v>1.3</v>
      </c>
      <c r="AT25" s="22"/>
      <c r="AU25" s="22">
        <v>1.3</v>
      </c>
      <c r="AV25" s="22">
        <v>1.3</v>
      </c>
      <c r="AW25" s="22">
        <v>1.3</v>
      </c>
      <c r="AX25" s="22"/>
      <c r="AY25" s="22">
        <v>1.3</v>
      </c>
      <c r="AZ25" s="22">
        <v>1</v>
      </c>
      <c r="BA25" s="22">
        <v>1.3</v>
      </c>
      <c r="BB25" s="22">
        <v>1.3</v>
      </c>
      <c r="BC25" s="22"/>
      <c r="BD25" s="22">
        <v>1.3</v>
      </c>
      <c r="BE25" s="22">
        <v>1.3</v>
      </c>
      <c r="BF25" s="22"/>
      <c r="BG25" s="22">
        <v>1.3</v>
      </c>
      <c r="BH25" s="22"/>
      <c r="BI25" s="22"/>
      <c r="BJ25" s="22">
        <v>1</v>
      </c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>
        <v>1</v>
      </c>
      <c r="BX25" s="22"/>
      <c r="BY25" s="22"/>
      <c r="BZ25" s="22"/>
      <c r="CA25" s="22"/>
      <c r="CB25" s="22">
        <v>1</v>
      </c>
      <c r="CC25" s="22"/>
      <c r="CD25" s="22">
        <v>1.3</v>
      </c>
      <c r="CE25" s="22">
        <v>1.3</v>
      </c>
      <c r="CF25" s="22"/>
      <c r="CG25" s="22"/>
      <c r="CH25" s="22">
        <v>1</v>
      </c>
      <c r="CI25" s="22"/>
      <c r="CJ25" s="22"/>
      <c r="CK25" s="22">
        <v>1</v>
      </c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4">
        <f>SUMPRODUCT(Table462[[#This Row],[1]:[100]],$F$2:$DA$2)</f>
        <v>169.95183656230512</v>
      </c>
      <c r="DC25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16.700000000000003</v>
      </c>
    </row>
    <row r="26" spans="1:107" x14ac:dyDescent="0.25">
      <c r="A26" s="27">
        <v>22</v>
      </c>
      <c r="B26" s="22" t="s">
        <v>203</v>
      </c>
      <c r="C26" s="22" t="s">
        <v>353</v>
      </c>
      <c r="D26" s="22" t="s">
        <v>346</v>
      </c>
      <c r="E26" s="22" t="s">
        <v>149</v>
      </c>
      <c r="F26" s="22">
        <v>1.3</v>
      </c>
      <c r="G26" s="22">
        <v>1.3</v>
      </c>
      <c r="H26" s="22">
        <v>1.3</v>
      </c>
      <c r="I26" s="22">
        <v>1.3</v>
      </c>
      <c r="J26" s="22">
        <v>1.3</v>
      </c>
      <c r="K26" s="22">
        <v>1.3</v>
      </c>
      <c r="L26" s="22">
        <v>1.3</v>
      </c>
      <c r="M26" s="22"/>
      <c r="N26" s="22">
        <v>1</v>
      </c>
      <c r="O26" s="22">
        <v>1.3</v>
      </c>
      <c r="P26" s="22">
        <v>1</v>
      </c>
      <c r="Q26" s="22">
        <v>1.3</v>
      </c>
      <c r="R26" s="22">
        <v>1.3</v>
      </c>
      <c r="S26" s="22">
        <v>1.3</v>
      </c>
      <c r="T26" s="22">
        <v>1.3</v>
      </c>
      <c r="U26" s="22">
        <v>1.3</v>
      </c>
      <c r="V26" s="22"/>
      <c r="W26" s="22">
        <v>1.3</v>
      </c>
      <c r="X26" s="22">
        <v>1.3</v>
      </c>
      <c r="Y26" s="22"/>
      <c r="Z26" s="22">
        <v>1</v>
      </c>
      <c r="AA26" s="22"/>
      <c r="AB26" s="22"/>
      <c r="AC26" s="22">
        <v>1</v>
      </c>
      <c r="AD26" s="22"/>
      <c r="AE26" s="22"/>
      <c r="AF26" s="22">
        <v>1.3</v>
      </c>
      <c r="AG26" s="22">
        <v>1.3</v>
      </c>
      <c r="AH26" s="22">
        <v>1</v>
      </c>
      <c r="AI26" s="22">
        <v>1.3</v>
      </c>
      <c r="AJ26" s="22">
        <v>1.3</v>
      </c>
      <c r="AK26" s="22">
        <v>1.3</v>
      </c>
      <c r="AL26" s="22"/>
      <c r="AM26" s="22">
        <v>1</v>
      </c>
      <c r="AN26" s="22">
        <v>1.3</v>
      </c>
      <c r="AO26" s="22">
        <v>1</v>
      </c>
      <c r="AP26" s="22">
        <v>1.3</v>
      </c>
      <c r="AQ26" s="22">
        <v>1</v>
      </c>
      <c r="AR26" s="22">
        <v>1.3</v>
      </c>
      <c r="AS26" s="22">
        <v>1.3</v>
      </c>
      <c r="AT26" s="22">
        <v>1.3</v>
      </c>
      <c r="AU26" s="22">
        <v>1.3</v>
      </c>
      <c r="AV26" s="22">
        <v>1.3</v>
      </c>
      <c r="AW26" s="22">
        <v>1.3</v>
      </c>
      <c r="AX26" s="22">
        <v>1</v>
      </c>
      <c r="AY26" s="22">
        <v>1.3</v>
      </c>
      <c r="AZ26" s="22">
        <v>1</v>
      </c>
      <c r="BA26" s="22">
        <v>1</v>
      </c>
      <c r="BB26" s="22">
        <v>1.3</v>
      </c>
      <c r="BC26" s="22"/>
      <c r="BD26" s="22">
        <v>1.3</v>
      </c>
      <c r="BE26" s="22">
        <v>1.3</v>
      </c>
      <c r="BF26" s="22"/>
      <c r="BG26" s="22">
        <v>1.3</v>
      </c>
      <c r="BH26" s="22"/>
      <c r="BI26" s="22"/>
      <c r="BJ26" s="22"/>
      <c r="BK26" s="22"/>
      <c r="BL26" s="22"/>
      <c r="BM26" s="22"/>
      <c r="BN26" s="22"/>
      <c r="BO26" s="22"/>
      <c r="BP26" s="22"/>
      <c r="BQ26" s="22">
        <v>1</v>
      </c>
      <c r="BR26" s="22"/>
      <c r="BS26" s="22"/>
      <c r="BT26" s="22"/>
      <c r="BU26" s="22"/>
      <c r="BV26" s="22"/>
      <c r="BW26" s="22"/>
      <c r="BX26" s="22"/>
      <c r="BY26" s="22">
        <v>1</v>
      </c>
      <c r="BZ26" s="22"/>
      <c r="CA26" s="22"/>
      <c r="CB26" s="22"/>
      <c r="CC26" s="22"/>
      <c r="CD26" s="22">
        <v>1</v>
      </c>
      <c r="CE26" s="22">
        <v>1.3</v>
      </c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4">
        <f>SUMPRODUCT(Table462[[#This Row],[1]:[100]],$F$2:$DA$2)</f>
        <v>166.62477425017909</v>
      </c>
      <c r="DC26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15.700000000000003</v>
      </c>
    </row>
    <row r="27" spans="1:107" x14ac:dyDescent="0.25">
      <c r="A27" s="27">
        <v>23</v>
      </c>
      <c r="B27" s="22" t="s">
        <v>146</v>
      </c>
      <c r="C27" s="22" t="s">
        <v>147</v>
      </c>
      <c r="D27" s="22" t="s">
        <v>346</v>
      </c>
      <c r="E27" s="22"/>
      <c r="F27" s="22">
        <v>1.3</v>
      </c>
      <c r="G27" s="22">
        <v>1.3</v>
      </c>
      <c r="H27" s="22">
        <v>1.3</v>
      </c>
      <c r="I27" s="22">
        <v>1.3</v>
      </c>
      <c r="J27" s="22">
        <v>1.3</v>
      </c>
      <c r="K27" s="22">
        <v>1.3</v>
      </c>
      <c r="L27" s="22">
        <v>1.3</v>
      </c>
      <c r="M27" s="22">
        <v>1.3</v>
      </c>
      <c r="N27" s="22">
        <v>1.3</v>
      </c>
      <c r="O27" s="22">
        <v>1.3</v>
      </c>
      <c r="P27" s="22">
        <v>1.3</v>
      </c>
      <c r="Q27" s="22">
        <v>1.3</v>
      </c>
      <c r="R27" s="22">
        <v>1.3</v>
      </c>
      <c r="S27" s="22">
        <v>1.3</v>
      </c>
      <c r="T27" s="22">
        <v>1.3</v>
      </c>
      <c r="U27" s="22">
        <v>1.3</v>
      </c>
      <c r="V27" s="22">
        <v>1.3</v>
      </c>
      <c r="W27" s="22">
        <v>1.3</v>
      </c>
      <c r="X27" s="22">
        <v>1.3</v>
      </c>
      <c r="Y27" s="22">
        <v>1</v>
      </c>
      <c r="Z27" s="22">
        <v>1</v>
      </c>
      <c r="AA27" s="22"/>
      <c r="AB27" s="22">
        <v>1</v>
      </c>
      <c r="AC27" s="22">
        <v>1.3</v>
      </c>
      <c r="AD27" s="22"/>
      <c r="AE27" s="22"/>
      <c r="AF27" s="22">
        <v>1.3</v>
      </c>
      <c r="AG27" s="22"/>
      <c r="AH27" s="22">
        <v>1</v>
      </c>
      <c r="AI27" s="22">
        <v>1.3</v>
      </c>
      <c r="AJ27" s="22">
        <v>1</v>
      </c>
      <c r="AK27" s="22"/>
      <c r="AL27" s="22">
        <v>1</v>
      </c>
      <c r="AM27" s="22">
        <v>1.3</v>
      </c>
      <c r="AN27" s="22">
        <v>1.3</v>
      </c>
      <c r="AO27" s="22">
        <v>1</v>
      </c>
      <c r="AP27" s="22">
        <v>1.3</v>
      </c>
      <c r="AQ27" s="22"/>
      <c r="AR27" s="22">
        <v>1.3</v>
      </c>
      <c r="AS27" s="22">
        <v>1.3</v>
      </c>
      <c r="AT27" s="22">
        <v>1</v>
      </c>
      <c r="AU27" s="22">
        <v>1.3</v>
      </c>
      <c r="AV27" s="22">
        <v>1.3</v>
      </c>
      <c r="AW27" s="22">
        <v>1</v>
      </c>
      <c r="AX27" s="22"/>
      <c r="AY27" s="22">
        <v>1.3</v>
      </c>
      <c r="AZ27" s="22">
        <v>1</v>
      </c>
      <c r="BA27" s="22">
        <v>1.3</v>
      </c>
      <c r="BB27" s="22">
        <v>1.3</v>
      </c>
      <c r="BC27" s="22"/>
      <c r="BD27" s="22">
        <v>1</v>
      </c>
      <c r="BE27" s="22">
        <v>1.3</v>
      </c>
      <c r="BF27" s="22"/>
      <c r="BG27" s="22">
        <v>1.3</v>
      </c>
      <c r="BH27" s="22"/>
      <c r="BI27" s="22"/>
      <c r="BJ27" s="22"/>
      <c r="BK27" s="22"/>
      <c r="BL27" s="22"/>
      <c r="BM27" s="22"/>
      <c r="BN27" s="22"/>
      <c r="BO27" s="22"/>
      <c r="BP27" s="22"/>
      <c r="BQ27" s="22">
        <v>1</v>
      </c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>
        <v>1.3</v>
      </c>
      <c r="CF27" s="22">
        <v>1</v>
      </c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4">
        <f>SUMPRODUCT(Table462[[#This Row],[1]:[100]],$F$2:$DA$2)</f>
        <v>164.346283671523</v>
      </c>
      <c r="DC27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13.4</v>
      </c>
    </row>
    <row r="28" spans="1:107" x14ac:dyDescent="0.25">
      <c r="A28" s="27">
        <v>24</v>
      </c>
      <c r="B28" s="22" t="s">
        <v>258</v>
      </c>
      <c r="C28" s="22" t="s">
        <v>259</v>
      </c>
      <c r="D28" s="22" t="s">
        <v>346</v>
      </c>
      <c r="E28" s="22" t="s">
        <v>260</v>
      </c>
      <c r="F28" s="22">
        <v>1.3</v>
      </c>
      <c r="G28" s="22">
        <v>1.3</v>
      </c>
      <c r="H28" s="22">
        <v>1.3</v>
      </c>
      <c r="I28" s="22">
        <v>1.31</v>
      </c>
      <c r="J28" s="22">
        <v>1.3</v>
      </c>
      <c r="K28" s="22">
        <v>1.3</v>
      </c>
      <c r="L28" s="22">
        <v>1.3</v>
      </c>
      <c r="M28" s="22">
        <v>1.3</v>
      </c>
      <c r="N28" s="22">
        <v>1</v>
      </c>
      <c r="O28" s="22">
        <v>1.3</v>
      </c>
      <c r="P28" s="22">
        <v>1.3</v>
      </c>
      <c r="Q28" s="22">
        <v>1.3</v>
      </c>
      <c r="R28" s="22">
        <v>1.3</v>
      </c>
      <c r="S28" s="22">
        <v>1.3</v>
      </c>
      <c r="T28" s="22">
        <v>1.3</v>
      </c>
      <c r="U28" s="22">
        <v>1.3</v>
      </c>
      <c r="V28" s="22">
        <v>1.3</v>
      </c>
      <c r="W28" s="22">
        <v>1.3</v>
      </c>
      <c r="X28" s="22">
        <v>1.3</v>
      </c>
      <c r="Y28" s="22">
        <v>1.3</v>
      </c>
      <c r="Z28" s="22">
        <v>1.3</v>
      </c>
      <c r="AA28" s="22"/>
      <c r="AB28" s="22">
        <v>1.3</v>
      </c>
      <c r="AC28" s="22">
        <v>1.3</v>
      </c>
      <c r="AD28" s="22"/>
      <c r="AE28" s="22"/>
      <c r="AF28" s="22">
        <v>1.3</v>
      </c>
      <c r="AG28" s="22"/>
      <c r="AH28" s="22">
        <v>1.3</v>
      </c>
      <c r="AI28" s="22">
        <v>1.3</v>
      </c>
      <c r="AJ28" s="22">
        <v>1.3</v>
      </c>
      <c r="AK28" s="22">
        <v>1.3</v>
      </c>
      <c r="AL28" s="22"/>
      <c r="AM28" s="22"/>
      <c r="AN28" s="22">
        <v>1.3</v>
      </c>
      <c r="AO28" s="22">
        <v>1.3</v>
      </c>
      <c r="AP28" s="22">
        <v>1.3</v>
      </c>
      <c r="AQ28" s="22"/>
      <c r="AR28" s="22"/>
      <c r="AS28" s="22">
        <v>1.3</v>
      </c>
      <c r="AT28" s="22"/>
      <c r="AU28" s="22">
        <v>1.3</v>
      </c>
      <c r="AV28" s="22">
        <v>1.3</v>
      </c>
      <c r="AW28" s="22">
        <v>1.3</v>
      </c>
      <c r="AX28" s="22"/>
      <c r="AY28" s="22">
        <v>1.3</v>
      </c>
      <c r="AZ28" s="22">
        <v>1.3</v>
      </c>
      <c r="BA28" s="22">
        <v>1.3</v>
      </c>
      <c r="BB28" s="22">
        <v>1.3</v>
      </c>
      <c r="BC28" s="22"/>
      <c r="BD28" s="22">
        <v>1.3</v>
      </c>
      <c r="BE28" s="22">
        <v>1.3</v>
      </c>
      <c r="BF28" s="22"/>
      <c r="BG28" s="22">
        <v>1.3</v>
      </c>
      <c r="BH28" s="22">
        <v>1.3</v>
      </c>
      <c r="BI28" s="22"/>
      <c r="BJ28" s="22">
        <v>1</v>
      </c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>
        <v>1</v>
      </c>
      <c r="CC28" s="22">
        <v>1</v>
      </c>
      <c r="CD28" s="22">
        <v>1</v>
      </c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4">
        <f>SUMPRODUCT(Table462[[#This Row],[1]:[100]],$F$2:$DA$2)</f>
        <v>160.49098121894704</v>
      </c>
      <c r="DC28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15.710000000000003</v>
      </c>
    </row>
    <row r="29" spans="1:107" x14ac:dyDescent="0.25">
      <c r="A29" s="27">
        <v>25</v>
      </c>
      <c r="B29" s="22" t="s">
        <v>169</v>
      </c>
      <c r="C29" s="22" t="s">
        <v>232</v>
      </c>
      <c r="D29" s="22" t="s">
        <v>346</v>
      </c>
      <c r="E29" s="22" t="s">
        <v>348</v>
      </c>
      <c r="F29" s="22"/>
      <c r="G29" s="22"/>
      <c r="H29" s="22"/>
      <c r="I29" s="22"/>
      <c r="J29" s="22"/>
      <c r="K29" s="22"/>
      <c r="L29" s="22">
        <v>1.3</v>
      </c>
      <c r="M29" s="22"/>
      <c r="N29" s="22">
        <v>1.3</v>
      </c>
      <c r="O29" s="22">
        <v>1.3</v>
      </c>
      <c r="P29" s="22"/>
      <c r="Q29" s="22">
        <v>1.3</v>
      </c>
      <c r="R29" s="22"/>
      <c r="S29" s="22">
        <v>1.3</v>
      </c>
      <c r="T29" s="22"/>
      <c r="U29" s="22">
        <v>1.3</v>
      </c>
      <c r="V29" s="22"/>
      <c r="W29" s="22">
        <v>1.3</v>
      </c>
      <c r="X29" s="22">
        <v>1.3</v>
      </c>
      <c r="Y29" s="22"/>
      <c r="Z29" s="22"/>
      <c r="AA29" s="22"/>
      <c r="AB29" s="22"/>
      <c r="AC29" s="22"/>
      <c r="AD29" s="22"/>
      <c r="AE29" s="22"/>
      <c r="AF29" s="22">
        <v>1.3</v>
      </c>
      <c r="AG29" s="22"/>
      <c r="AH29" s="22"/>
      <c r="AI29" s="22">
        <v>1.3</v>
      </c>
      <c r="AJ29" s="22"/>
      <c r="AK29" s="22">
        <v>1.3</v>
      </c>
      <c r="AL29" s="22">
        <v>1</v>
      </c>
      <c r="AM29" s="22">
        <v>1.3</v>
      </c>
      <c r="AN29" s="22">
        <v>1.3</v>
      </c>
      <c r="AO29" s="22">
        <v>1.3</v>
      </c>
      <c r="AP29" s="22">
        <v>1.3</v>
      </c>
      <c r="AQ29" s="22">
        <v>1</v>
      </c>
      <c r="AR29" s="22">
        <v>1.3</v>
      </c>
      <c r="AS29" s="22">
        <v>1.3</v>
      </c>
      <c r="AT29" s="22">
        <v>1.3</v>
      </c>
      <c r="AU29" s="22">
        <v>1.3</v>
      </c>
      <c r="AV29" s="22">
        <v>1.3</v>
      </c>
      <c r="AW29" s="22">
        <v>1.3</v>
      </c>
      <c r="AX29" s="22">
        <v>1</v>
      </c>
      <c r="AY29" s="22">
        <v>1.3</v>
      </c>
      <c r="AZ29" s="22">
        <v>1.3</v>
      </c>
      <c r="BA29" s="22">
        <v>1.3</v>
      </c>
      <c r="BB29" s="22">
        <v>1.3</v>
      </c>
      <c r="BC29" s="22"/>
      <c r="BD29" s="22">
        <v>1.3</v>
      </c>
      <c r="BE29" s="22">
        <v>1.3</v>
      </c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>
        <v>1.3</v>
      </c>
      <c r="BR29" s="22"/>
      <c r="BS29" s="22"/>
      <c r="BT29" s="22"/>
      <c r="BU29" s="22"/>
      <c r="BV29" s="22"/>
      <c r="BW29" s="22">
        <v>1.3</v>
      </c>
      <c r="BX29" s="22"/>
      <c r="BY29" s="22">
        <v>1</v>
      </c>
      <c r="BZ29" s="22"/>
      <c r="CA29" s="22"/>
      <c r="CB29" s="22">
        <v>1</v>
      </c>
      <c r="CC29" s="22"/>
      <c r="CD29" s="22"/>
      <c r="CE29" s="22">
        <v>1</v>
      </c>
      <c r="CF29" s="22">
        <v>1.3</v>
      </c>
      <c r="CG29" s="22"/>
      <c r="CH29" s="22">
        <v>1</v>
      </c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4">
        <f>SUMPRODUCT(Table462[[#This Row],[1]:[100]],$F$2:$DA$2)</f>
        <v>153.49760919617609</v>
      </c>
      <c r="DC29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16.000000000000004</v>
      </c>
    </row>
    <row r="30" spans="1:107" x14ac:dyDescent="0.25">
      <c r="A30" s="27">
        <v>26</v>
      </c>
      <c r="B30" s="22" t="s">
        <v>281</v>
      </c>
      <c r="C30" s="22" t="s">
        <v>282</v>
      </c>
      <c r="D30" s="22" t="s">
        <v>346</v>
      </c>
      <c r="E30" s="22" t="s">
        <v>280</v>
      </c>
      <c r="F30" s="22">
        <v>1.3</v>
      </c>
      <c r="G30" s="22">
        <v>1.3</v>
      </c>
      <c r="H30" s="22">
        <v>1.3</v>
      </c>
      <c r="I30" s="22">
        <v>1.3</v>
      </c>
      <c r="J30" s="22">
        <v>1.3</v>
      </c>
      <c r="K30" s="22">
        <v>1.3</v>
      </c>
      <c r="L30" s="22">
        <v>1.3</v>
      </c>
      <c r="M30" s="22">
        <v>1</v>
      </c>
      <c r="N30" s="22"/>
      <c r="O30" s="22">
        <v>1.3</v>
      </c>
      <c r="P30" s="22">
        <v>1.3</v>
      </c>
      <c r="Q30" s="22">
        <v>1.3</v>
      </c>
      <c r="R30" s="22">
        <v>1.3</v>
      </c>
      <c r="S30" s="22">
        <v>1.3</v>
      </c>
      <c r="T30" s="22">
        <v>1.3</v>
      </c>
      <c r="U30" s="22">
        <v>1.3</v>
      </c>
      <c r="V30" s="22">
        <v>1.3</v>
      </c>
      <c r="W30" s="22">
        <v>1.3</v>
      </c>
      <c r="X30" s="22">
        <v>1.3</v>
      </c>
      <c r="Y30" s="22">
        <v>1</v>
      </c>
      <c r="Z30" s="22">
        <v>1.3</v>
      </c>
      <c r="AA30" s="22"/>
      <c r="AB30" s="22"/>
      <c r="AC30" s="22"/>
      <c r="AD30" s="22"/>
      <c r="AE30" s="22"/>
      <c r="AF30" s="22">
        <v>1.3</v>
      </c>
      <c r="AG30" s="22">
        <v>1.3</v>
      </c>
      <c r="AH30" s="22">
        <v>1</v>
      </c>
      <c r="AI30" s="22">
        <v>1.3</v>
      </c>
      <c r="AJ30" s="22"/>
      <c r="AK30" s="22">
        <v>1.3</v>
      </c>
      <c r="AL30" s="22"/>
      <c r="AM30" s="22">
        <v>1</v>
      </c>
      <c r="AN30" s="22">
        <v>1.3</v>
      </c>
      <c r="AO30" s="22">
        <v>1</v>
      </c>
      <c r="AP30" s="22">
        <v>1.3</v>
      </c>
      <c r="AQ30" s="22">
        <v>1</v>
      </c>
      <c r="AR30" s="22">
        <v>1.3</v>
      </c>
      <c r="AS30" s="22">
        <v>1.3</v>
      </c>
      <c r="AT30" s="22"/>
      <c r="AU30" s="22">
        <v>1.3</v>
      </c>
      <c r="AV30" s="22">
        <v>1.3</v>
      </c>
      <c r="AW30" s="22">
        <v>1.3</v>
      </c>
      <c r="AX30" s="22"/>
      <c r="AY30" s="22">
        <v>1.3</v>
      </c>
      <c r="AZ30" s="22">
        <v>1.3</v>
      </c>
      <c r="BA30" s="22">
        <v>1.3</v>
      </c>
      <c r="BB30" s="22">
        <v>1</v>
      </c>
      <c r="BC30" s="22"/>
      <c r="BD30" s="22">
        <v>1.3</v>
      </c>
      <c r="BE30" s="22">
        <v>1.3</v>
      </c>
      <c r="BF30" s="22"/>
      <c r="BG30" s="22">
        <v>1.3</v>
      </c>
      <c r="BH30" s="22">
        <v>1</v>
      </c>
      <c r="BI30" s="22"/>
      <c r="BJ30" s="22">
        <v>1.3</v>
      </c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>
        <v>1.3</v>
      </c>
      <c r="CC30" s="22"/>
      <c r="CD30" s="22">
        <v>1</v>
      </c>
      <c r="CE30" s="22">
        <v>1</v>
      </c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4">
        <f>SUMPRODUCT(Table462[[#This Row],[1]:[100]],$F$2:$DA$2)</f>
        <v>152.42817994624366</v>
      </c>
      <c r="DC30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16.600000000000005</v>
      </c>
    </row>
    <row r="31" spans="1:107" x14ac:dyDescent="0.25">
      <c r="A31" s="27">
        <v>27</v>
      </c>
      <c r="B31" s="22" t="s">
        <v>169</v>
      </c>
      <c r="C31" s="22" t="s">
        <v>170</v>
      </c>
      <c r="D31" s="22" t="s">
        <v>346</v>
      </c>
      <c r="E31" s="22"/>
      <c r="F31" s="22">
        <v>1.3</v>
      </c>
      <c r="G31" s="22">
        <v>1.3</v>
      </c>
      <c r="H31" s="22">
        <v>1.3</v>
      </c>
      <c r="I31" s="22">
        <v>1.3</v>
      </c>
      <c r="J31" s="22">
        <v>1.3</v>
      </c>
      <c r="K31" s="22">
        <v>1.3</v>
      </c>
      <c r="L31" s="22">
        <v>1.3</v>
      </c>
      <c r="M31" s="22">
        <v>1</v>
      </c>
      <c r="N31" s="22">
        <v>1.3</v>
      </c>
      <c r="O31" s="22">
        <v>1.3</v>
      </c>
      <c r="P31" s="22">
        <v>1.3</v>
      </c>
      <c r="Q31" s="22">
        <v>1.3</v>
      </c>
      <c r="R31" s="22">
        <v>1.3</v>
      </c>
      <c r="S31" s="22">
        <v>1.3</v>
      </c>
      <c r="T31" s="22">
        <v>1.3</v>
      </c>
      <c r="U31" s="22">
        <v>1.3</v>
      </c>
      <c r="V31" s="22">
        <v>1.3</v>
      </c>
      <c r="W31" s="22">
        <v>1</v>
      </c>
      <c r="X31" s="22">
        <v>1.3</v>
      </c>
      <c r="Y31" s="22">
        <v>1</v>
      </c>
      <c r="Z31" s="22">
        <v>1</v>
      </c>
      <c r="AA31" s="22"/>
      <c r="AB31" s="22"/>
      <c r="AC31" s="22"/>
      <c r="AD31" s="22"/>
      <c r="AE31" s="22"/>
      <c r="AF31" s="22">
        <v>1.3</v>
      </c>
      <c r="AG31" s="22"/>
      <c r="AH31" s="22">
        <v>1.3</v>
      </c>
      <c r="AI31" s="22">
        <v>1.3</v>
      </c>
      <c r="AJ31" s="22"/>
      <c r="AK31" s="22">
        <v>1</v>
      </c>
      <c r="AL31" s="22"/>
      <c r="AM31" s="22">
        <v>1</v>
      </c>
      <c r="AN31" s="22">
        <v>1.3</v>
      </c>
      <c r="AO31" s="22"/>
      <c r="AP31" s="22">
        <v>1.3</v>
      </c>
      <c r="AQ31" s="22">
        <v>1.3</v>
      </c>
      <c r="AR31" s="22">
        <v>1.3</v>
      </c>
      <c r="AS31" s="22">
        <v>1.3</v>
      </c>
      <c r="AT31" s="22"/>
      <c r="AU31" s="22">
        <v>1.3</v>
      </c>
      <c r="AV31" s="22">
        <v>1.3</v>
      </c>
      <c r="AW31" s="22">
        <v>1.3</v>
      </c>
      <c r="AX31" s="22"/>
      <c r="AY31" s="22">
        <v>1.3</v>
      </c>
      <c r="AZ31" s="22"/>
      <c r="BA31" s="22"/>
      <c r="BB31" s="22">
        <v>1.3</v>
      </c>
      <c r="BC31" s="22"/>
      <c r="BD31" s="22">
        <v>1.3</v>
      </c>
      <c r="BE31" s="22">
        <v>1.3</v>
      </c>
      <c r="BF31" s="22"/>
      <c r="BG31" s="22"/>
      <c r="BH31" s="22">
        <v>1.3</v>
      </c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>
        <v>1</v>
      </c>
      <c r="BZ31" s="22"/>
      <c r="CA31" s="22"/>
      <c r="CB31" s="22">
        <v>1</v>
      </c>
      <c r="CC31" s="22"/>
      <c r="CD31" s="22">
        <v>1</v>
      </c>
      <c r="CE31" s="22"/>
      <c r="CF31" s="22"/>
      <c r="CG31" s="22"/>
      <c r="CH31" s="22">
        <v>1</v>
      </c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4">
        <f>SUMPRODUCT(Table462[[#This Row],[1]:[100]],$F$2:$DA$2)</f>
        <v>134.02909676019112</v>
      </c>
      <c r="DC31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17.000000000000004</v>
      </c>
    </row>
    <row r="32" spans="1:107" x14ac:dyDescent="0.25">
      <c r="A32" s="27">
        <v>28</v>
      </c>
      <c r="B32" s="22" t="s">
        <v>331</v>
      </c>
      <c r="C32" s="22" t="s">
        <v>332</v>
      </c>
      <c r="D32" s="22" t="s">
        <v>117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>
        <v>1.3</v>
      </c>
      <c r="S32" s="22"/>
      <c r="T32" s="22">
        <v>1.3</v>
      </c>
      <c r="U32" s="22"/>
      <c r="V32" s="22"/>
      <c r="W32" s="22"/>
      <c r="X32" s="22"/>
      <c r="Y32" s="22">
        <v>1</v>
      </c>
      <c r="Z32" s="22"/>
      <c r="AA32" s="22"/>
      <c r="AB32" s="22"/>
      <c r="AC32" s="22"/>
      <c r="AD32" s="22"/>
      <c r="AE32" s="22"/>
      <c r="AF32" s="22">
        <v>1.3</v>
      </c>
      <c r="AG32" s="22"/>
      <c r="AH32" s="22"/>
      <c r="AI32" s="22"/>
      <c r="AJ32" s="22"/>
      <c r="AK32" s="22">
        <v>1</v>
      </c>
      <c r="AL32" s="22"/>
      <c r="AM32" s="22">
        <v>1.3</v>
      </c>
      <c r="AN32" s="22"/>
      <c r="AO32" s="22">
        <v>1.3</v>
      </c>
      <c r="AP32" s="22">
        <v>1.3</v>
      </c>
      <c r="AQ32" s="22">
        <v>1</v>
      </c>
      <c r="AR32" s="22">
        <v>1.3</v>
      </c>
      <c r="AS32" s="22">
        <v>1.3</v>
      </c>
      <c r="AT32" s="22"/>
      <c r="AU32" s="22">
        <v>1.3</v>
      </c>
      <c r="AV32" s="22"/>
      <c r="AW32" s="22">
        <v>1.3</v>
      </c>
      <c r="AX32" s="22"/>
      <c r="AY32" s="22"/>
      <c r="AZ32" s="22">
        <v>1.3</v>
      </c>
      <c r="BA32" s="22">
        <v>1.3</v>
      </c>
      <c r="BB32" s="22">
        <v>1.3</v>
      </c>
      <c r="BC32" s="22"/>
      <c r="BD32" s="22">
        <v>1</v>
      </c>
      <c r="BE32" s="22"/>
      <c r="BF32" s="22"/>
      <c r="BG32" s="22"/>
      <c r="BH32" s="22">
        <v>1</v>
      </c>
      <c r="BI32" s="22"/>
      <c r="BJ32" s="22"/>
      <c r="BK32" s="22"/>
      <c r="BL32" s="22"/>
      <c r="BM32" s="22"/>
      <c r="BN32" s="22">
        <v>1</v>
      </c>
      <c r="BO32" s="22"/>
      <c r="BP32" s="22"/>
      <c r="BQ32" s="22">
        <v>1</v>
      </c>
      <c r="BR32" s="22"/>
      <c r="BS32" s="22"/>
      <c r="BT32" s="22"/>
      <c r="BU32" s="22"/>
      <c r="BV32" s="22"/>
      <c r="BW32" s="22"/>
      <c r="BX32" s="22"/>
      <c r="BY32" s="22">
        <v>1.3</v>
      </c>
      <c r="BZ32" s="22"/>
      <c r="CA32" s="22"/>
      <c r="CB32" s="22">
        <v>1</v>
      </c>
      <c r="CC32" s="22"/>
      <c r="CD32" s="22"/>
      <c r="CE32" s="22"/>
      <c r="CF32" s="22"/>
      <c r="CG32" s="22"/>
      <c r="CH32" s="22">
        <v>1</v>
      </c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4">
        <f>SUMPRODUCT(Table462[[#This Row],[1]:[100]],$F$2:$DA$2)</f>
        <v>133.17456823724635</v>
      </c>
      <c r="DC32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10.199999999999999</v>
      </c>
    </row>
    <row r="33" spans="1:108" x14ac:dyDescent="0.25">
      <c r="A33" s="27">
        <v>29</v>
      </c>
      <c r="B33" s="22" t="s">
        <v>175</v>
      </c>
      <c r="C33" s="22" t="s">
        <v>209</v>
      </c>
      <c r="D33" s="22" t="s">
        <v>346</v>
      </c>
      <c r="E33" s="22"/>
      <c r="F33" s="22">
        <v>1.3</v>
      </c>
      <c r="G33" s="22">
        <v>1.3</v>
      </c>
      <c r="H33" s="22">
        <v>1.3</v>
      </c>
      <c r="I33" s="22">
        <v>1.3</v>
      </c>
      <c r="J33" s="22">
        <v>1.3</v>
      </c>
      <c r="K33" s="22">
        <v>1.3</v>
      </c>
      <c r="L33" s="22">
        <v>1.3</v>
      </c>
      <c r="M33" s="22">
        <v>1.3</v>
      </c>
      <c r="N33" s="22">
        <v>1</v>
      </c>
      <c r="O33" s="22">
        <v>1.3</v>
      </c>
      <c r="P33" s="22">
        <v>1.3</v>
      </c>
      <c r="Q33" s="22">
        <v>1.3</v>
      </c>
      <c r="R33" s="22">
        <v>1.3</v>
      </c>
      <c r="S33" s="22">
        <v>1.3</v>
      </c>
      <c r="T33" s="22">
        <v>1.3</v>
      </c>
      <c r="U33" s="22">
        <v>1.3</v>
      </c>
      <c r="V33" s="22">
        <v>1.3</v>
      </c>
      <c r="W33" s="22">
        <v>1.3</v>
      </c>
      <c r="X33" s="22">
        <v>1.3</v>
      </c>
      <c r="Y33" s="22"/>
      <c r="Z33" s="22"/>
      <c r="AA33" s="22"/>
      <c r="AB33" s="22">
        <v>1</v>
      </c>
      <c r="AC33" s="22">
        <v>1.3</v>
      </c>
      <c r="AD33" s="22"/>
      <c r="AE33" s="22"/>
      <c r="AF33" s="22">
        <v>1.3</v>
      </c>
      <c r="AG33" s="22">
        <v>1.3</v>
      </c>
      <c r="AH33" s="22"/>
      <c r="AI33" s="22"/>
      <c r="AJ33" s="22">
        <v>1.3</v>
      </c>
      <c r="AK33" s="22">
        <v>1</v>
      </c>
      <c r="AL33" s="22"/>
      <c r="AM33" s="22"/>
      <c r="AN33" s="22"/>
      <c r="AO33" s="22">
        <v>1.3</v>
      </c>
      <c r="AP33" s="22">
        <v>1.3</v>
      </c>
      <c r="AQ33" s="22">
        <v>1.3</v>
      </c>
      <c r="AR33" s="22">
        <v>1.3</v>
      </c>
      <c r="AS33" s="22"/>
      <c r="AT33" s="22"/>
      <c r="AU33" s="22">
        <v>1.3</v>
      </c>
      <c r="AV33" s="22"/>
      <c r="AW33" s="22"/>
      <c r="AX33" s="22"/>
      <c r="AY33" s="22">
        <v>1.3</v>
      </c>
      <c r="AZ33" s="22"/>
      <c r="BA33" s="22"/>
      <c r="BB33" s="22"/>
      <c r="BC33" s="22"/>
      <c r="BD33" s="22">
        <v>1.3</v>
      </c>
      <c r="BE33" s="22">
        <v>1.3</v>
      </c>
      <c r="BF33" s="22"/>
      <c r="BG33" s="22">
        <v>1.3</v>
      </c>
      <c r="BH33" s="22"/>
      <c r="BI33" s="22"/>
      <c r="BJ33" s="22">
        <v>1</v>
      </c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>
        <v>1.3</v>
      </c>
      <c r="CC33" s="22">
        <v>1</v>
      </c>
      <c r="CD33" s="22"/>
      <c r="CE33" s="22">
        <v>1.3</v>
      </c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4">
        <f>SUMPRODUCT(Table462[[#This Row],[1]:[100]],$F$2:$DA$2)</f>
        <v>126.16472968443243</v>
      </c>
      <c r="DC33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14.400000000000002</v>
      </c>
    </row>
    <row r="34" spans="1:108" x14ac:dyDescent="0.25">
      <c r="A34" s="27">
        <v>30</v>
      </c>
      <c r="B34" s="22" t="s">
        <v>131</v>
      </c>
      <c r="C34" s="22" t="s">
        <v>230</v>
      </c>
      <c r="D34" s="22" t="s">
        <v>117</v>
      </c>
      <c r="E34" s="22" t="s">
        <v>231</v>
      </c>
      <c r="F34" s="22">
        <v>1.3</v>
      </c>
      <c r="G34" s="22">
        <v>1.3</v>
      </c>
      <c r="H34" s="22">
        <v>1.3</v>
      </c>
      <c r="I34" s="22">
        <v>1.3</v>
      </c>
      <c r="J34" s="22">
        <v>1.3</v>
      </c>
      <c r="K34" s="22">
        <v>1.3</v>
      </c>
      <c r="L34" s="22">
        <v>1.3</v>
      </c>
      <c r="M34" s="22"/>
      <c r="N34" s="22">
        <v>1</v>
      </c>
      <c r="O34" s="22">
        <v>1.3</v>
      </c>
      <c r="P34" s="22">
        <v>1.3</v>
      </c>
      <c r="Q34" s="22">
        <v>1.3</v>
      </c>
      <c r="R34" s="22">
        <v>1.3</v>
      </c>
      <c r="S34" s="22">
        <v>1.3</v>
      </c>
      <c r="T34" s="22">
        <v>1.3</v>
      </c>
      <c r="U34" s="22">
        <v>1.3</v>
      </c>
      <c r="V34" s="22">
        <v>1.3</v>
      </c>
      <c r="W34" s="22">
        <v>1.3</v>
      </c>
      <c r="X34" s="22">
        <v>1.3</v>
      </c>
      <c r="Y34" s="22"/>
      <c r="Z34" s="22">
        <v>1.3</v>
      </c>
      <c r="AA34" s="22"/>
      <c r="AB34" s="22">
        <v>1</v>
      </c>
      <c r="AC34" s="22">
        <v>1.3</v>
      </c>
      <c r="AD34" s="22"/>
      <c r="AE34" s="22"/>
      <c r="AF34" s="22">
        <v>1</v>
      </c>
      <c r="AG34" s="22">
        <v>1</v>
      </c>
      <c r="AH34" s="22"/>
      <c r="AI34" s="22">
        <v>1.3</v>
      </c>
      <c r="AJ34" s="22"/>
      <c r="AK34" s="22">
        <v>1.3</v>
      </c>
      <c r="AL34" s="22"/>
      <c r="AM34" s="22">
        <v>1</v>
      </c>
      <c r="AN34" s="22">
        <v>1.3</v>
      </c>
      <c r="AO34" s="22"/>
      <c r="AP34" s="22">
        <v>1</v>
      </c>
      <c r="AQ34" s="22"/>
      <c r="AR34" s="22">
        <v>1</v>
      </c>
      <c r="AS34" s="22">
        <v>1.3</v>
      </c>
      <c r="AT34" s="22">
        <v>1.3</v>
      </c>
      <c r="AU34" s="22">
        <v>1.3</v>
      </c>
      <c r="AV34" s="22">
        <v>1.3</v>
      </c>
      <c r="AW34" s="22"/>
      <c r="AX34" s="22"/>
      <c r="AY34" s="22">
        <v>1.3</v>
      </c>
      <c r="AZ34" s="22">
        <v>1.3</v>
      </c>
      <c r="BA34" s="22"/>
      <c r="BB34" s="22">
        <v>1</v>
      </c>
      <c r="BC34" s="22"/>
      <c r="BD34" s="22">
        <v>1.3</v>
      </c>
      <c r="BE34" s="22">
        <v>1.3</v>
      </c>
      <c r="BF34" s="22"/>
      <c r="BG34" s="22"/>
      <c r="BH34" s="22"/>
      <c r="BI34" s="22"/>
      <c r="BJ34" s="22">
        <v>1</v>
      </c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>
        <v>1</v>
      </c>
      <c r="CD34" s="22"/>
      <c r="CE34" s="22">
        <v>1</v>
      </c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4">
        <f>SUMPRODUCT(Table462[[#This Row],[1]:[100]],$F$2:$DA$2)</f>
        <v>123.62861302253533</v>
      </c>
      <c r="DC34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14.4</v>
      </c>
    </row>
    <row r="35" spans="1:108" x14ac:dyDescent="0.25">
      <c r="A35" s="27">
        <v>31</v>
      </c>
      <c r="B35" s="22" t="s">
        <v>284</v>
      </c>
      <c r="C35" s="22" t="s">
        <v>285</v>
      </c>
      <c r="D35" s="22" t="s">
        <v>346</v>
      </c>
      <c r="E35" s="22" t="s">
        <v>350</v>
      </c>
      <c r="F35" s="22">
        <v>1.3</v>
      </c>
      <c r="G35" s="22">
        <v>1.3</v>
      </c>
      <c r="H35" s="22">
        <v>1.3</v>
      </c>
      <c r="I35" s="22">
        <v>1.3</v>
      </c>
      <c r="J35" s="22">
        <v>1.3</v>
      </c>
      <c r="K35" s="22">
        <v>1.3</v>
      </c>
      <c r="L35" s="22">
        <v>1.3</v>
      </c>
      <c r="M35" s="22">
        <v>1</v>
      </c>
      <c r="N35" s="22">
        <v>1.3</v>
      </c>
      <c r="O35" s="22">
        <v>1.3</v>
      </c>
      <c r="P35" s="22">
        <v>1.3</v>
      </c>
      <c r="Q35" s="22">
        <v>1.3</v>
      </c>
      <c r="R35" s="22">
        <v>1.3</v>
      </c>
      <c r="S35" s="22">
        <v>1.3</v>
      </c>
      <c r="T35" s="22">
        <v>1.3</v>
      </c>
      <c r="U35" s="22">
        <v>1.3</v>
      </c>
      <c r="V35" s="22">
        <v>1.3</v>
      </c>
      <c r="W35" s="22">
        <v>1.3</v>
      </c>
      <c r="X35" s="22">
        <v>1.3</v>
      </c>
      <c r="Y35" s="22">
        <v>1</v>
      </c>
      <c r="Z35" s="22">
        <v>1.3</v>
      </c>
      <c r="AA35" s="22"/>
      <c r="AB35" s="22">
        <v>1</v>
      </c>
      <c r="AC35" s="22">
        <v>1.3</v>
      </c>
      <c r="AD35" s="22"/>
      <c r="AE35" s="22"/>
      <c r="AF35" s="22">
        <v>1.3</v>
      </c>
      <c r="AG35" s="22"/>
      <c r="AH35" s="22">
        <v>1</v>
      </c>
      <c r="AI35" s="22">
        <v>1.3</v>
      </c>
      <c r="AJ35" s="22"/>
      <c r="AK35" s="22">
        <v>1.3</v>
      </c>
      <c r="AL35" s="22"/>
      <c r="AM35" s="22"/>
      <c r="AN35" s="22">
        <v>1.3</v>
      </c>
      <c r="AO35" s="22"/>
      <c r="AP35" s="22"/>
      <c r="AQ35" s="22"/>
      <c r="AR35" s="22">
        <v>1.3</v>
      </c>
      <c r="AS35" s="22">
        <v>1.3</v>
      </c>
      <c r="AT35" s="22"/>
      <c r="AU35" s="22">
        <v>1.3</v>
      </c>
      <c r="AV35" s="22"/>
      <c r="AW35" s="22">
        <v>1.3</v>
      </c>
      <c r="AX35" s="22"/>
      <c r="AY35" s="22">
        <v>1.3</v>
      </c>
      <c r="AZ35" s="22"/>
      <c r="BA35" s="22">
        <v>1.3</v>
      </c>
      <c r="BB35" s="22">
        <v>1.3</v>
      </c>
      <c r="BC35" s="22"/>
      <c r="BD35" s="22">
        <v>1.3</v>
      </c>
      <c r="BE35" s="22"/>
      <c r="BF35" s="22"/>
      <c r="BG35" s="22">
        <v>1.3</v>
      </c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>
        <v>1.3</v>
      </c>
      <c r="CC35" s="22">
        <v>1</v>
      </c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4">
        <f>SUMPRODUCT(Table462[[#This Row],[1]:[100]],$F$2:$DA$2)</f>
        <v>117.29769329552668</v>
      </c>
      <c r="DC35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16.600000000000001</v>
      </c>
    </row>
    <row r="36" spans="1:108" x14ac:dyDescent="0.25">
      <c r="A36" s="27">
        <v>32</v>
      </c>
      <c r="B36" s="22" t="s">
        <v>163</v>
      </c>
      <c r="C36" s="22" t="s">
        <v>164</v>
      </c>
      <c r="D36" s="22" t="s">
        <v>165</v>
      </c>
      <c r="E36" s="22" t="s">
        <v>166</v>
      </c>
      <c r="F36" s="22"/>
      <c r="G36" s="22"/>
      <c r="H36" s="22"/>
      <c r="I36" s="22"/>
      <c r="J36" s="22"/>
      <c r="K36" s="22"/>
      <c r="L36" s="22">
        <v>1.3</v>
      </c>
      <c r="M36" s="22">
        <v>1.3</v>
      </c>
      <c r="N36" s="22">
        <v>1</v>
      </c>
      <c r="O36" s="22">
        <v>1.3</v>
      </c>
      <c r="P36" s="22">
        <v>1.3</v>
      </c>
      <c r="Q36" s="22">
        <v>1.3</v>
      </c>
      <c r="R36" s="22">
        <v>1.3</v>
      </c>
      <c r="S36" s="22">
        <v>1.3</v>
      </c>
      <c r="T36" s="22">
        <v>1.3</v>
      </c>
      <c r="U36" s="22"/>
      <c r="V36" s="22">
        <v>1.3</v>
      </c>
      <c r="W36" s="22">
        <v>1.3</v>
      </c>
      <c r="X36" s="22">
        <v>1.3</v>
      </c>
      <c r="Y36" s="22"/>
      <c r="Z36" s="22"/>
      <c r="AA36" s="22">
        <v>1</v>
      </c>
      <c r="AB36" s="22"/>
      <c r="AC36" s="22"/>
      <c r="AD36" s="22"/>
      <c r="AE36" s="22"/>
      <c r="AF36" s="22">
        <v>1.3</v>
      </c>
      <c r="AG36" s="22">
        <v>1</v>
      </c>
      <c r="AH36" s="22">
        <v>1</v>
      </c>
      <c r="AI36" s="22">
        <v>1.3</v>
      </c>
      <c r="AJ36" s="22"/>
      <c r="AK36" s="22"/>
      <c r="AL36" s="22"/>
      <c r="AM36" s="22"/>
      <c r="AN36" s="22"/>
      <c r="AO36" s="22">
        <v>1</v>
      </c>
      <c r="AP36" s="22">
        <v>1.3</v>
      </c>
      <c r="AQ36" s="22">
        <v>1</v>
      </c>
      <c r="AR36" s="22">
        <v>1.3</v>
      </c>
      <c r="AS36" s="22">
        <v>1.3</v>
      </c>
      <c r="AT36" s="22">
        <v>1</v>
      </c>
      <c r="AU36" s="22">
        <v>1.3</v>
      </c>
      <c r="AV36" s="22"/>
      <c r="AW36" s="22">
        <v>1.3</v>
      </c>
      <c r="AX36" s="22"/>
      <c r="AY36" s="22"/>
      <c r="AZ36" s="22">
        <v>1</v>
      </c>
      <c r="BA36" s="22">
        <v>1</v>
      </c>
      <c r="BB36" s="22">
        <v>1.3</v>
      </c>
      <c r="BC36" s="22">
        <v>1</v>
      </c>
      <c r="BD36" s="22">
        <v>1.3</v>
      </c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4">
        <f>SUMPRODUCT(Table462[[#This Row],[1]:[100]],$F$2:$DA$2)</f>
        <v>113.01388012237094</v>
      </c>
      <c r="DC36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11.100000000000001</v>
      </c>
    </row>
    <row r="37" spans="1:108" x14ac:dyDescent="0.25">
      <c r="A37" s="27">
        <v>33</v>
      </c>
      <c r="B37" s="22" t="s">
        <v>175</v>
      </c>
      <c r="C37" s="22" t="s">
        <v>176</v>
      </c>
      <c r="D37" s="22" t="s">
        <v>346</v>
      </c>
      <c r="E37" s="22"/>
      <c r="F37" s="22">
        <v>1.3</v>
      </c>
      <c r="G37" s="22">
        <v>1.3</v>
      </c>
      <c r="H37" s="22">
        <v>1.3</v>
      </c>
      <c r="I37" s="22">
        <v>1.3</v>
      </c>
      <c r="J37" s="22">
        <v>1.3</v>
      </c>
      <c r="K37" s="22">
        <v>1.3</v>
      </c>
      <c r="L37" s="22">
        <v>1.3</v>
      </c>
      <c r="M37" s="22">
        <v>1</v>
      </c>
      <c r="N37" s="22"/>
      <c r="O37" s="22">
        <v>1.3</v>
      </c>
      <c r="P37" s="22"/>
      <c r="Q37" s="22">
        <v>1.3</v>
      </c>
      <c r="R37" s="22">
        <v>1.3</v>
      </c>
      <c r="S37" s="22"/>
      <c r="T37" s="22" t="s">
        <v>287</v>
      </c>
      <c r="U37" s="22">
        <v>1.3</v>
      </c>
      <c r="V37" s="22">
        <v>1.3</v>
      </c>
      <c r="W37" s="22">
        <v>1.3</v>
      </c>
      <c r="X37" s="22">
        <v>1.3</v>
      </c>
      <c r="Y37" s="22"/>
      <c r="Z37" s="22"/>
      <c r="AA37" s="22"/>
      <c r="AB37" s="22">
        <v>1.3</v>
      </c>
      <c r="AC37" s="22"/>
      <c r="AD37" s="22"/>
      <c r="AE37" s="22"/>
      <c r="AF37" s="22">
        <v>1.3</v>
      </c>
      <c r="AG37" s="22">
        <v>1</v>
      </c>
      <c r="AH37" s="22">
        <v>1</v>
      </c>
      <c r="AI37" s="22">
        <v>1.3</v>
      </c>
      <c r="AJ37" s="22"/>
      <c r="AK37" s="22"/>
      <c r="AL37" s="22"/>
      <c r="AM37" s="22"/>
      <c r="AN37" s="22"/>
      <c r="AO37" s="22"/>
      <c r="AP37" s="22">
        <v>1.3</v>
      </c>
      <c r="AQ37" s="22"/>
      <c r="AR37" s="22"/>
      <c r="AS37" s="22">
        <v>1.3</v>
      </c>
      <c r="AT37" s="22"/>
      <c r="AU37" s="22">
        <v>1.3</v>
      </c>
      <c r="AV37" s="22">
        <v>1.3</v>
      </c>
      <c r="AW37" s="22">
        <v>1.3</v>
      </c>
      <c r="AX37" s="22">
        <v>1</v>
      </c>
      <c r="AY37" s="22">
        <v>1.3</v>
      </c>
      <c r="AZ37" s="22">
        <v>1.3</v>
      </c>
      <c r="BA37" s="22">
        <v>1</v>
      </c>
      <c r="BB37" s="22">
        <v>1</v>
      </c>
      <c r="BC37" s="22"/>
      <c r="BD37" s="22">
        <v>1.3</v>
      </c>
      <c r="BE37" s="22">
        <v>1.3</v>
      </c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>
        <v>1.3</v>
      </c>
      <c r="BZ37" s="22"/>
      <c r="CA37" s="22"/>
      <c r="CB37" s="22">
        <v>1.3</v>
      </c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4">
        <f>SUMPRODUCT(Table462[[#This Row],[1]:[100]],$F$2:$DA$2)</f>
        <v>110.28700233724895</v>
      </c>
      <c r="DC37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11.700000000000001</v>
      </c>
    </row>
    <row r="38" spans="1:108" x14ac:dyDescent="0.25">
      <c r="A38" s="27">
        <v>34</v>
      </c>
      <c r="B38" s="22" t="s">
        <v>272</v>
      </c>
      <c r="C38" s="22" t="s">
        <v>335</v>
      </c>
      <c r="D38" s="22" t="s">
        <v>346</v>
      </c>
      <c r="E38" s="22" t="s">
        <v>280</v>
      </c>
      <c r="F38" s="22">
        <v>1.3</v>
      </c>
      <c r="G38" s="22">
        <v>1.3</v>
      </c>
      <c r="H38" s="22">
        <v>1.3</v>
      </c>
      <c r="I38" s="22">
        <v>1.3</v>
      </c>
      <c r="J38" s="22">
        <v>1.3</v>
      </c>
      <c r="K38" s="22">
        <v>1</v>
      </c>
      <c r="L38" s="22">
        <v>1.3</v>
      </c>
      <c r="M38" s="22">
        <v>1</v>
      </c>
      <c r="N38" s="22"/>
      <c r="O38" s="22">
        <v>1.3</v>
      </c>
      <c r="P38" s="22">
        <v>1.3</v>
      </c>
      <c r="Q38" s="22">
        <v>1.3</v>
      </c>
      <c r="R38" s="22">
        <v>1.3</v>
      </c>
      <c r="S38" s="22"/>
      <c r="T38" s="22">
        <v>1.3</v>
      </c>
      <c r="U38" s="22"/>
      <c r="V38" s="22"/>
      <c r="W38" s="22">
        <v>1.3</v>
      </c>
      <c r="X38" s="22">
        <v>1.3</v>
      </c>
      <c r="Y38" s="22"/>
      <c r="Z38" s="22">
        <v>1.3</v>
      </c>
      <c r="AA38" s="22"/>
      <c r="AB38" s="22"/>
      <c r="AC38" s="22">
        <v>1</v>
      </c>
      <c r="AD38" s="22"/>
      <c r="AE38" s="22">
        <v>1.3</v>
      </c>
      <c r="AF38" s="22">
        <v>1.3</v>
      </c>
      <c r="AG38" s="22"/>
      <c r="AH38" s="22">
        <v>1</v>
      </c>
      <c r="AI38" s="22"/>
      <c r="AJ38" s="22"/>
      <c r="AK38" s="22">
        <v>1.3</v>
      </c>
      <c r="AL38" s="22"/>
      <c r="AM38" s="22"/>
      <c r="AN38" s="22"/>
      <c r="AO38" s="22"/>
      <c r="AP38" s="22">
        <v>1.3</v>
      </c>
      <c r="AQ38" s="22"/>
      <c r="AR38" s="22">
        <v>1.3</v>
      </c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>
        <v>1.3</v>
      </c>
      <c r="BD38" s="22">
        <v>1.3</v>
      </c>
      <c r="BE38" s="22">
        <v>1.3</v>
      </c>
      <c r="BF38" s="22"/>
      <c r="BG38" s="22">
        <v>1.3</v>
      </c>
      <c r="BH38" s="22"/>
      <c r="BI38" s="22"/>
      <c r="BJ38" s="22">
        <v>1.3</v>
      </c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>
        <v>1.3</v>
      </c>
      <c r="CC38" s="22">
        <v>1.3</v>
      </c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4">
        <f>SUMPRODUCT(Table462[[#This Row],[1]:[100]],$F$2:$DA$2)</f>
        <v>109.27190318699209</v>
      </c>
      <c r="DC38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11.700000000000001</v>
      </c>
    </row>
    <row r="39" spans="1:108" x14ac:dyDescent="0.25">
      <c r="A39" s="27">
        <v>35</v>
      </c>
      <c r="B39" s="22" t="s">
        <v>217</v>
      </c>
      <c r="C39" s="22" t="s">
        <v>218</v>
      </c>
      <c r="D39" s="22" t="s">
        <v>117</v>
      </c>
      <c r="E39" s="22" t="s">
        <v>216</v>
      </c>
      <c r="F39" s="22">
        <v>1.3</v>
      </c>
      <c r="G39" s="22">
        <v>1.3</v>
      </c>
      <c r="H39" s="22">
        <v>1.3</v>
      </c>
      <c r="I39" s="22">
        <v>1.3</v>
      </c>
      <c r="J39" s="22">
        <v>1.3</v>
      </c>
      <c r="K39" s="22">
        <v>1.3</v>
      </c>
      <c r="L39" s="22">
        <v>1.3</v>
      </c>
      <c r="M39" s="22">
        <v>1.3</v>
      </c>
      <c r="N39" s="22">
        <v>1.3</v>
      </c>
      <c r="O39" s="22">
        <v>1</v>
      </c>
      <c r="P39" s="22">
        <v>1</v>
      </c>
      <c r="Q39" s="22">
        <v>1.3</v>
      </c>
      <c r="R39" s="22">
        <v>1.3</v>
      </c>
      <c r="S39" s="22">
        <v>1.3</v>
      </c>
      <c r="T39" s="22">
        <v>1.3</v>
      </c>
      <c r="U39" s="22">
        <v>1.3</v>
      </c>
      <c r="V39" s="22">
        <v>1.3</v>
      </c>
      <c r="W39" s="22">
        <v>1.3</v>
      </c>
      <c r="X39" s="22">
        <v>1</v>
      </c>
      <c r="Y39" s="22"/>
      <c r="Z39" s="22">
        <v>1.3</v>
      </c>
      <c r="AA39" s="22"/>
      <c r="AB39" s="22">
        <v>1.3</v>
      </c>
      <c r="AC39" s="22">
        <v>1.3</v>
      </c>
      <c r="AD39" s="22"/>
      <c r="AE39" s="22"/>
      <c r="AF39" s="22"/>
      <c r="AG39" s="22"/>
      <c r="AH39" s="22"/>
      <c r="AI39" s="22">
        <v>1.3</v>
      </c>
      <c r="AJ39" s="22"/>
      <c r="AK39" s="22">
        <v>1.3</v>
      </c>
      <c r="AL39" s="22"/>
      <c r="AM39" s="22">
        <v>1.3</v>
      </c>
      <c r="AN39" s="22">
        <v>1.3</v>
      </c>
      <c r="AO39" s="22"/>
      <c r="AP39" s="22">
        <v>1.3</v>
      </c>
      <c r="AQ39" s="22"/>
      <c r="AR39" s="22">
        <v>1.3</v>
      </c>
      <c r="AS39" s="22">
        <v>1.3</v>
      </c>
      <c r="AT39" s="22"/>
      <c r="AU39" s="22">
        <v>1.3</v>
      </c>
      <c r="AV39" s="22"/>
      <c r="AW39" s="22"/>
      <c r="AX39" s="22"/>
      <c r="AY39" s="22">
        <v>1.3</v>
      </c>
      <c r="AZ39" s="22">
        <v>1.3</v>
      </c>
      <c r="BA39" s="22"/>
      <c r="BB39" s="22">
        <v>1.3</v>
      </c>
      <c r="BC39" s="22"/>
      <c r="BD39" s="22">
        <v>1.3</v>
      </c>
      <c r="BE39" s="22">
        <v>1.3</v>
      </c>
      <c r="BF39" s="22"/>
      <c r="BG39" s="22">
        <v>1.3</v>
      </c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>
        <v>1</v>
      </c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4">
        <f>SUMPRODUCT(Table462[[#This Row],[1]:[100]],$F$2:$DA$2)</f>
        <v>108.8018200656725</v>
      </c>
      <c r="DC39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12.700000000000003</v>
      </c>
    </row>
    <row r="40" spans="1:108" x14ac:dyDescent="0.25">
      <c r="A40" s="27">
        <v>36</v>
      </c>
      <c r="B40" s="22" t="s">
        <v>251</v>
      </c>
      <c r="C40" s="22" t="s">
        <v>354</v>
      </c>
      <c r="D40" s="22" t="s">
        <v>346</v>
      </c>
      <c r="E40" s="22" t="s">
        <v>348</v>
      </c>
      <c r="F40" s="22">
        <v>1.3</v>
      </c>
      <c r="G40" s="22">
        <v>1.3</v>
      </c>
      <c r="H40" s="22">
        <v>1.3</v>
      </c>
      <c r="I40" s="22">
        <v>1.3</v>
      </c>
      <c r="J40" s="22">
        <v>1.3</v>
      </c>
      <c r="K40" s="22">
        <v>1.3</v>
      </c>
      <c r="L40" s="22">
        <v>1.3</v>
      </c>
      <c r="M40" s="22"/>
      <c r="N40" s="22">
        <v>1</v>
      </c>
      <c r="O40" s="22">
        <v>1.3</v>
      </c>
      <c r="P40" s="22">
        <v>1</v>
      </c>
      <c r="Q40" s="22">
        <v>1.3</v>
      </c>
      <c r="R40" s="22">
        <v>1.3</v>
      </c>
      <c r="S40" s="22">
        <v>1.3</v>
      </c>
      <c r="T40" s="22"/>
      <c r="U40" s="22">
        <v>1.3</v>
      </c>
      <c r="V40" s="22">
        <v>1.3</v>
      </c>
      <c r="W40" s="22">
        <v>1.3</v>
      </c>
      <c r="X40" s="22">
        <v>1.3</v>
      </c>
      <c r="Y40" s="22"/>
      <c r="Z40" s="22">
        <v>1.3</v>
      </c>
      <c r="AA40" s="22"/>
      <c r="AB40" s="22">
        <v>1</v>
      </c>
      <c r="AC40" s="22">
        <v>1.3</v>
      </c>
      <c r="AD40" s="22"/>
      <c r="AE40" s="22"/>
      <c r="AF40" s="22">
        <v>1.3</v>
      </c>
      <c r="AG40" s="22"/>
      <c r="AH40" s="22">
        <v>1</v>
      </c>
      <c r="AI40" s="22">
        <v>1.3</v>
      </c>
      <c r="AJ40" s="22"/>
      <c r="AK40" s="22">
        <v>1</v>
      </c>
      <c r="AL40" s="22"/>
      <c r="AM40" s="22"/>
      <c r="AN40" s="22">
        <v>1.3</v>
      </c>
      <c r="AO40" s="22"/>
      <c r="AP40" s="22">
        <v>1.3</v>
      </c>
      <c r="AQ40" s="22"/>
      <c r="AR40" s="22">
        <v>1.3</v>
      </c>
      <c r="AS40" s="22">
        <v>1.3</v>
      </c>
      <c r="AT40" s="22"/>
      <c r="AU40" s="22"/>
      <c r="AV40" s="22">
        <v>1.3</v>
      </c>
      <c r="AW40" s="22"/>
      <c r="AX40" s="22"/>
      <c r="AY40" s="22">
        <v>1.3</v>
      </c>
      <c r="AZ40" s="22"/>
      <c r="BA40" s="22"/>
      <c r="BB40" s="22"/>
      <c r="BC40" s="22"/>
      <c r="BD40" s="22">
        <v>1.3</v>
      </c>
      <c r="BE40" s="22">
        <v>1.3</v>
      </c>
      <c r="BF40" s="22"/>
      <c r="BG40" s="22">
        <v>1</v>
      </c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>
        <v>1</v>
      </c>
      <c r="BZ40" s="22"/>
      <c r="CA40" s="22"/>
      <c r="CB40" s="22">
        <v>1</v>
      </c>
      <c r="CC40" s="22">
        <v>1</v>
      </c>
      <c r="CD40" s="22"/>
      <c r="CE40" s="22">
        <v>1</v>
      </c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4">
        <f>SUMPRODUCT(Table462[[#This Row],[1]:[100]],$F$2:$DA$2)</f>
        <v>108.58498255465948</v>
      </c>
      <c r="DC40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15.400000000000002</v>
      </c>
    </row>
    <row r="41" spans="1:108" x14ac:dyDescent="0.25">
      <c r="A41" s="27">
        <v>37</v>
      </c>
      <c r="B41" s="22" t="s">
        <v>295</v>
      </c>
      <c r="C41" s="22" t="s">
        <v>296</v>
      </c>
      <c r="D41" s="22" t="s">
        <v>317</v>
      </c>
      <c r="E41" s="22" t="s">
        <v>297</v>
      </c>
      <c r="F41" s="22"/>
      <c r="G41" s="22"/>
      <c r="H41" s="22">
        <v>1.3</v>
      </c>
      <c r="I41" s="22"/>
      <c r="J41" s="22"/>
      <c r="K41" s="22">
        <v>1.3</v>
      </c>
      <c r="L41" s="22">
        <v>1.3</v>
      </c>
      <c r="M41" s="22"/>
      <c r="N41" s="22"/>
      <c r="O41" s="22">
        <v>1.3</v>
      </c>
      <c r="P41" s="22">
        <v>1.3</v>
      </c>
      <c r="Q41" s="22"/>
      <c r="R41" s="22">
        <v>1</v>
      </c>
      <c r="S41" s="22"/>
      <c r="T41" s="22"/>
      <c r="U41" s="22">
        <v>1.3</v>
      </c>
      <c r="V41" s="22"/>
      <c r="W41" s="22">
        <v>1.3</v>
      </c>
      <c r="X41" s="22">
        <v>1.3</v>
      </c>
      <c r="Y41" s="22"/>
      <c r="Z41" s="22"/>
      <c r="AA41" s="22"/>
      <c r="AB41" s="22">
        <v>1</v>
      </c>
      <c r="AC41" s="22">
        <v>1.3</v>
      </c>
      <c r="AD41" s="22"/>
      <c r="AE41" s="22"/>
      <c r="AF41" s="22">
        <v>1</v>
      </c>
      <c r="AG41" s="22">
        <v>1.3</v>
      </c>
      <c r="AH41" s="22">
        <v>1.3</v>
      </c>
      <c r="AI41" s="22"/>
      <c r="AJ41" s="22"/>
      <c r="AK41" s="22">
        <v>1</v>
      </c>
      <c r="AL41" s="22"/>
      <c r="AM41" s="22"/>
      <c r="AN41" s="22">
        <v>1.3</v>
      </c>
      <c r="AO41" s="22"/>
      <c r="AP41" s="22"/>
      <c r="AQ41" s="22"/>
      <c r="AR41" s="22">
        <v>1.3</v>
      </c>
      <c r="AS41" s="22">
        <v>1.3</v>
      </c>
      <c r="AT41" s="22">
        <v>1.3</v>
      </c>
      <c r="AU41" s="22"/>
      <c r="AV41" s="22"/>
      <c r="AW41" s="22"/>
      <c r="AX41" s="22"/>
      <c r="AY41" s="22">
        <v>1.3</v>
      </c>
      <c r="AZ41" s="22"/>
      <c r="BA41" s="22">
        <v>1.3</v>
      </c>
      <c r="BB41" s="22">
        <v>1.3</v>
      </c>
      <c r="BC41" s="22"/>
      <c r="BD41" s="22">
        <v>1.3</v>
      </c>
      <c r="BE41" s="22">
        <v>1.3</v>
      </c>
      <c r="BF41" s="22"/>
      <c r="BG41" s="22">
        <v>1.3</v>
      </c>
      <c r="BH41" s="22"/>
      <c r="BI41" s="22"/>
      <c r="BJ41" s="22">
        <v>1</v>
      </c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>
        <v>1.3</v>
      </c>
      <c r="BZ41" s="22"/>
      <c r="CA41" s="22"/>
      <c r="CB41" s="22">
        <v>1.3</v>
      </c>
      <c r="CC41" s="22">
        <v>1.3</v>
      </c>
      <c r="CD41" s="22"/>
      <c r="CE41" s="22"/>
      <c r="CF41" s="22"/>
      <c r="CG41" s="22"/>
      <c r="CH41" s="22">
        <v>1</v>
      </c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4">
        <f>SUMPRODUCT(Table462[[#This Row],[1]:[100]],$F$2:$DA$2)</f>
        <v>105.42090685201063</v>
      </c>
      <c r="DC41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13.700000000000003</v>
      </c>
    </row>
    <row r="42" spans="1:108" x14ac:dyDescent="0.25">
      <c r="A42" s="27">
        <v>38</v>
      </c>
      <c r="B42" s="22" t="s">
        <v>144</v>
      </c>
      <c r="C42" s="22" t="s">
        <v>145</v>
      </c>
      <c r="D42" s="22" t="s">
        <v>117</v>
      </c>
      <c r="E42" s="22"/>
      <c r="F42" s="22">
        <v>1.3</v>
      </c>
      <c r="G42" s="22">
        <v>1.3</v>
      </c>
      <c r="H42" s="22">
        <v>1.3</v>
      </c>
      <c r="I42" s="22"/>
      <c r="J42" s="22">
        <v>1.3</v>
      </c>
      <c r="K42" s="22">
        <v>1.3</v>
      </c>
      <c r="L42" s="22">
        <v>1.3</v>
      </c>
      <c r="M42" s="22"/>
      <c r="N42" s="22">
        <v>1</v>
      </c>
      <c r="O42" s="22">
        <v>1</v>
      </c>
      <c r="P42" s="22">
        <v>1.3</v>
      </c>
      <c r="Q42" s="22">
        <v>1.3</v>
      </c>
      <c r="R42" s="22">
        <v>1.3</v>
      </c>
      <c r="S42" s="22">
        <v>1.3</v>
      </c>
      <c r="T42" s="22">
        <v>1.3</v>
      </c>
      <c r="U42" s="22">
        <v>1.3</v>
      </c>
      <c r="V42" s="22">
        <v>1</v>
      </c>
      <c r="W42" s="22">
        <v>1.3</v>
      </c>
      <c r="X42" s="22">
        <v>1.3</v>
      </c>
      <c r="Y42" s="22">
        <v>1</v>
      </c>
      <c r="Z42" s="22">
        <v>1.3</v>
      </c>
      <c r="AA42" s="22"/>
      <c r="AB42" s="22">
        <v>1</v>
      </c>
      <c r="AC42" s="22">
        <v>1</v>
      </c>
      <c r="AD42" s="22"/>
      <c r="AE42" s="22"/>
      <c r="AF42" s="22">
        <v>1.3</v>
      </c>
      <c r="AG42" s="22">
        <v>1</v>
      </c>
      <c r="AH42" s="22"/>
      <c r="AI42" s="22">
        <v>1</v>
      </c>
      <c r="AJ42" s="22"/>
      <c r="AK42" s="22">
        <v>1</v>
      </c>
      <c r="AL42" s="22"/>
      <c r="AM42" s="22"/>
      <c r="AN42" s="22">
        <v>1</v>
      </c>
      <c r="AO42" s="22">
        <v>1.3</v>
      </c>
      <c r="AP42" s="22">
        <v>1.3</v>
      </c>
      <c r="AQ42" s="22"/>
      <c r="AR42" s="22"/>
      <c r="AS42" s="22">
        <v>1</v>
      </c>
      <c r="AT42" s="22"/>
      <c r="AU42" s="22">
        <v>1.3</v>
      </c>
      <c r="AV42" s="22">
        <v>1.3</v>
      </c>
      <c r="AW42" s="22"/>
      <c r="AX42" s="22"/>
      <c r="AY42" s="22">
        <v>1</v>
      </c>
      <c r="AZ42" s="22"/>
      <c r="BA42" s="22"/>
      <c r="BB42" s="22">
        <v>1.3</v>
      </c>
      <c r="BC42" s="22"/>
      <c r="BD42" s="22">
        <v>1</v>
      </c>
      <c r="BE42" s="22">
        <v>1.3</v>
      </c>
      <c r="BF42" s="22"/>
      <c r="BG42" s="22">
        <v>1</v>
      </c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>
        <v>1</v>
      </c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4">
        <f>SUMPRODUCT(Table462[[#This Row],[1]:[100]],$F$2:$DA$2)</f>
        <v>104.70525885491631</v>
      </c>
      <c r="DC42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9.6</v>
      </c>
    </row>
    <row r="43" spans="1:108" x14ac:dyDescent="0.25">
      <c r="A43" s="27">
        <v>39</v>
      </c>
      <c r="B43" s="22" t="s">
        <v>272</v>
      </c>
      <c r="C43" s="22" t="s">
        <v>273</v>
      </c>
      <c r="D43" s="22" t="s">
        <v>346</v>
      </c>
      <c r="E43" s="22" t="s">
        <v>349</v>
      </c>
      <c r="F43" s="22">
        <v>1.3</v>
      </c>
      <c r="G43" s="22">
        <v>1.3</v>
      </c>
      <c r="H43" s="22">
        <v>1.3</v>
      </c>
      <c r="I43" s="22">
        <v>1.3</v>
      </c>
      <c r="J43" s="22">
        <v>1.3</v>
      </c>
      <c r="K43" s="22">
        <v>1.3</v>
      </c>
      <c r="L43" s="22">
        <v>1</v>
      </c>
      <c r="M43" s="22"/>
      <c r="N43" s="22">
        <v>1</v>
      </c>
      <c r="O43" s="22">
        <v>1.3</v>
      </c>
      <c r="P43" s="22">
        <v>1.3</v>
      </c>
      <c r="Q43" s="22">
        <v>1.3</v>
      </c>
      <c r="R43" s="22">
        <v>1.3</v>
      </c>
      <c r="S43" s="22">
        <v>1.3</v>
      </c>
      <c r="T43" s="22">
        <v>1.3</v>
      </c>
      <c r="U43" s="22">
        <v>1.3</v>
      </c>
      <c r="V43" s="22">
        <v>1.3</v>
      </c>
      <c r="W43" s="22">
        <v>1.3</v>
      </c>
      <c r="X43" s="22">
        <v>1.3</v>
      </c>
      <c r="Y43" s="22">
        <v>1</v>
      </c>
      <c r="Z43" s="22">
        <v>1.3</v>
      </c>
      <c r="AA43" s="22"/>
      <c r="AB43" s="22">
        <v>1.3</v>
      </c>
      <c r="AC43" s="22">
        <v>1.3</v>
      </c>
      <c r="AD43" s="22"/>
      <c r="AE43" s="22"/>
      <c r="AF43" s="22">
        <v>1</v>
      </c>
      <c r="AG43" s="22"/>
      <c r="AH43" s="22"/>
      <c r="AI43" s="22">
        <v>1.3</v>
      </c>
      <c r="AJ43" s="22"/>
      <c r="AK43" s="22">
        <v>1</v>
      </c>
      <c r="AL43" s="22"/>
      <c r="AM43" s="22"/>
      <c r="AN43" s="22">
        <v>1.3</v>
      </c>
      <c r="AO43" s="22"/>
      <c r="AP43" s="22">
        <v>1</v>
      </c>
      <c r="AQ43" s="22"/>
      <c r="AR43" s="22"/>
      <c r="AS43" s="22">
        <v>1.3</v>
      </c>
      <c r="AT43" s="22"/>
      <c r="AU43" s="22">
        <v>1.3</v>
      </c>
      <c r="AV43" s="22"/>
      <c r="AW43" s="22">
        <v>1</v>
      </c>
      <c r="AX43" s="22"/>
      <c r="AY43" s="22">
        <v>1.3</v>
      </c>
      <c r="AZ43" s="22"/>
      <c r="BA43" s="22"/>
      <c r="BB43" s="22">
        <v>1</v>
      </c>
      <c r="BC43" s="22"/>
      <c r="BD43" s="22">
        <v>1.3</v>
      </c>
      <c r="BE43" s="22">
        <v>1.3</v>
      </c>
      <c r="BF43" s="22"/>
      <c r="BG43" s="22">
        <v>1</v>
      </c>
      <c r="BH43" s="22"/>
      <c r="BI43" s="22"/>
      <c r="BJ43" s="22">
        <v>1</v>
      </c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>
        <v>1</v>
      </c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4">
        <f>SUMPRODUCT(Table462[[#This Row],[1]:[100]],$F$2:$DA$2)</f>
        <v>102.74597792329369</v>
      </c>
      <c r="DC43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13.100000000000001</v>
      </c>
    </row>
    <row r="44" spans="1:108" x14ac:dyDescent="0.25">
      <c r="A44" s="27">
        <v>40</v>
      </c>
      <c r="B44" s="22" t="s">
        <v>336</v>
      </c>
      <c r="C44" s="22" t="s">
        <v>337</v>
      </c>
      <c r="D44" s="22" t="s">
        <v>346</v>
      </c>
      <c r="E44" s="22" t="s">
        <v>280</v>
      </c>
      <c r="F44" s="22">
        <v>1.3</v>
      </c>
      <c r="G44" s="22">
        <v>1.3</v>
      </c>
      <c r="H44" s="22">
        <v>1.3</v>
      </c>
      <c r="I44" s="22">
        <v>1.3</v>
      </c>
      <c r="J44" s="22">
        <v>1.3</v>
      </c>
      <c r="K44" s="22">
        <v>1</v>
      </c>
      <c r="L44" s="22">
        <v>1.3</v>
      </c>
      <c r="M44" s="22">
        <v>1</v>
      </c>
      <c r="N44" s="22"/>
      <c r="O44" s="22">
        <v>1.3</v>
      </c>
      <c r="P44" s="22">
        <v>1.3</v>
      </c>
      <c r="Q44" s="22">
        <v>1.3</v>
      </c>
      <c r="R44" s="22">
        <v>1.3</v>
      </c>
      <c r="S44" s="22">
        <v>1.3</v>
      </c>
      <c r="T44" s="22">
        <v>1.3</v>
      </c>
      <c r="U44" s="22">
        <v>1.3</v>
      </c>
      <c r="V44" s="22">
        <v>1.3</v>
      </c>
      <c r="W44" s="22">
        <v>1.3</v>
      </c>
      <c r="X44" s="22">
        <v>1.3</v>
      </c>
      <c r="Y44" s="22"/>
      <c r="Z44" s="22"/>
      <c r="AA44" s="22"/>
      <c r="AB44" s="22"/>
      <c r="AC44" s="22">
        <v>1</v>
      </c>
      <c r="AD44" s="22"/>
      <c r="AE44" s="22"/>
      <c r="AF44" s="22">
        <v>1.3</v>
      </c>
      <c r="AG44" s="22"/>
      <c r="AH44" s="22"/>
      <c r="AI44" s="22"/>
      <c r="AJ44" s="22"/>
      <c r="AK44" s="22">
        <v>1</v>
      </c>
      <c r="AL44" s="22"/>
      <c r="AM44" s="22"/>
      <c r="AN44" s="22"/>
      <c r="AO44" s="22"/>
      <c r="AP44" s="22"/>
      <c r="AQ44" s="22"/>
      <c r="AR44" s="22">
        <v>1.3</v>
      </c>
      <c r="AS44" s="22">
        <v>1</v>
      </c>
      <c r="AT44" s="22"/>
      <c r="AU44" s="22">
        <v>1.3</v>
      </c>
      <c r="AV44" s="22"/>
      <c r="AW44" s="22"/>
      <c r="AX44" s="22"/>
      <c r="AY44" s="22">
        <v>1.3</v>
      </c>
      <c r="AZ44" s="22"/>
      <c r="BA44" s="22"/>
      <c r="BB44" s="22">
        <v>1.3</v>
      </c>
      <c r="BC44" s="22"/>
      <c r="BD44" s="22">
        <v>1.3</v>
      </c>
      <c r="BE44" s="22">
        <v>1.3</v>
      </c>
      <c r="BF44" s="22"/>
      <c r="BG44" s="22">
        <v>1.3</v>
      </c>
      <c r="BH44" s="22"/>
      <c r="BI44" s="22"/>
      <c r="BJ44" s="22">
        <v>1</v>
      </c>
      <c r="BK44" s="22"/>
      <c r="BL44" s="22"/>
      <c r="BM44" s="22"/>
      <c r="BN44" s="22"/>
      <c r="BO44" s="22"/>
      <c r="BP44" s="22"/>
      <c r="BQ44" s="22">
        <v>1</v>
      </c>
      <c r="BR44" s="22"/>
      <c r="BS44" s="22"/>
      <c r="BT44" s="22"/>
      <c r="BU44" s="22"/>
      <c r="BV44" s="22"/>
      <c r="BW44" s="22">
        <v>1.3</v>
      </c>
      <c r="BX44" s="22"/>
      <c r="BY44" s="22"/>
      <c r="BZ44" s="22"/>
      <c r="CA44" s="22"/>
      <c r="CB44" s="22"/>
      <c r="CC44" s="22">
        <v>1</v>
      </c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4">
        <f>SUMPRODUCT(Table462[[#This Row],[1]:[100]],$F$2:$DA$2)</f>
        <v>98.030244959165159</v>
      </c>
      <c r="DC44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12.8</v>
      </c>
    </row>
    <row r="45" spans="1:108" x14ac:dyDescent="0.25">
      <c r="A45" s="27">
        <v>41</v>
      </c>
      <c r="B45" s="25" t="s">
        <v>193</v>
      </c>
      <c r="C45" s="25" t="s">
        <v>194</v>
      </c>
      <c r="D45" s="25" t="s">
        <v>345</v>
      </c>
      <c r="E45" s="25"/>
      <c r="F45" s="25">
        <v>1.3</v>
      </c>
      <c r="G45" s="25">
        <v>1.3</v>
      </c>
      <c r="H45" s="25">
        <v>1.3</v>
      </c>
      <c r="I45" s="25">
        <v>1.3</v>
      </c>
      <c r="J45" s="25">
        <v>1.3</v>
      </c>
      <c r="K45" s="25">
        <v>1.3</v>
      </c>
      <c r="L45" s="25">
        <v>1.3</v>
      </c>
      <c r="M45" s="25"/>
      <c r="N45" s="25"/>
      <c r="O45" s="25">
        <v>1.3</v>
      </c>
      <c r="P45" s="25">
        <v>1.3</v>
      </c>
      <c r="Q45" s="25">
        <v>1.3</v>
      </c>
      <c r="R45" s="25">
        <v>1.3</v>
      </c>
      <c r="S45" s="25">
        <v>1.3</v>
      </c>
      <c r="T45" s="25">
        <v>1.3</v>
      </c>
      <c r="U45" s="25">
        <v>1.3</v>
      </c>
      <c r="V45" s="25">
        <v>1</v>
      </c>
      <c r="W45" s="25">
        <v>1.3</v>
      </c>
      <c r="X45" s="25">
        <v>1.3</v>
      </c>
      <c r="Y45" s="25"/>
      <c r="Z45" s="25">
        <v>1.3</v>
      </c>
      <c r="AA45" s="25"/>
      <c r="AB45" s="25"/>
      <c r="AC45" s="25"/>
      <c r="AD45" s="25"/>
      <c r="AE45" s="22"/>
      <c r="AF45" s="22">
        <v>1.3</v>
      </c>
      <c r="AG45" s="22"/>
      <c r="AH45" s="22">
        <v>1</v>
      </c>
      <c r="AI45" s="22">
        <v>1.3</v>
      </c>
      <c r="AJ45" s="22"/>
      <c r="AK45" s="22">
        <v>1</v>
      </c>
      <c r="AL45" s="22"/>
      <c r="AM45" s="22"/>
      <c r="AN45" s="22"/>
      <c r="AO45" s="22"/>
      <c r="AP45" s="22">
        <v>1.3</v>
      </c>
      <c r="AQ45" s="22"/>
      <c r="AR45" s="22">
        <v>1.3</v>
      </c>
      <c r="AS45" s="22">
        <v>1.3</v>
      </c>
      <c r="AT45" s="22"/>
      <c r="AU45" s="22">
        <v>1.3</v>
      </c>
      <c r="AV45" s="22">
        <v>1.3</v>
      </c>
      <c r="AW45" s="22"/>
      <c r="AX45" s="22"/>
      <c r="AY45" s="22"/>
      <c r="AZ45" s="22">
        <v>1</v>
      </c>
      <c r="BA45" s="22">
        <v>1</v>
      </c>
      <c r="BB45" s="22">
        <v>1.3</v>
      </c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>
        <v>1.3</v>
      </c>
      <c r="BZ45" s="22"/>
      <c r="CA45" s="22"/>
      <c r="CB45" s="22"/>
      <c r="CC45" s="22">
        <v>1</v>
      </c>
      <c r="CD45" s="22"/>
      <c r="CE45" s="22"/>
      <c r="CF45" s="22"/>
      <c r="CG45" s="22"/>
      <c r="CH45" s="22">
        <v>1</v>
      </c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3">
        <f>SUMPRODUCT(Table462[[#This Row],[1]:[100]],$F$2:$DA$2)</f>
        <v>97.061800165778209</v>
      </c>
      <c r="DC45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10.8</v>
      </c>
      <c r="DD45" s="26"/>
    </row>
    <row r="46" spans="1:108" x14ac:dyDescent="0.25">
      <c r="A46" s="27">
        <v>42</v>
      </c>
      <c r="B46" s="25" t="s">
        <v>201</v>
      </c>
      <c r="C46" s="25" t="s">
        <v>200</v>
      </c>
      <c r="D46" s="25" t="s">
        <v>346</v>
      </c>
      <c r="E46" s="25" t="s">
        <v>162</v>
      </c>
      <c r="F46" s="25">
        <v>1.3</v>
      </c>
      <c r="G46" s="25">
        <v>1.3</v>
      </c>
      <c r="H46" s="25">
        <v>1.3</v>
      </c>
      <c r="I46" s="25">
        <v>1.3</v>
      </c>
      <c r="J46" s="25"/>
      <c r="K46" s="25">
        <v>1.3</v>
      </c>
      <c r="L46" s="25"/>
      <c r="M46" s="25">
        <v>1.3</v>
      </c>
      <c r="N46" s="25">
        <v>1</v>
      </c>
      <c r="O46" s="25">
        <v>1.3</v>
      </c>
      <c r="P46" s="25">
        <v>1.3</v>
      </c>
      <c r="Q46" s="25">
        <v>1.3</v>
      </c>
      <c r="R46" s="25">
        <v>1.3</v>
      </c>
      <c r="S46" s="25">
        <v>1.3</v>
      </c>
      <c r="T46" s="25">
        <v>1.3</v>
      </c>
      <c r="U46" s="25">
        <v>1.3</v>
      </c>
      <c r="V46" s="25">
        <v>1.3</v>
      </c>
      <c r="W46" s="25">
        <v>1.3</v>
      </c>
      <c r="X46" s="25">
        <v>1.3</v>
      </c>
      <c r="Y46" s="25"/>
      <c r="Z46" s="25"/>
      <c r="AA46" s="25"/>
      <c r="AB46" s="25"/>
      <c r="AC46" s="25"/>
      <c r="AD46" s="25"/>
      <c r="AE46" s="22"/>
      <c r="AF46" s="22"/>
      <c r="AG46" s="22"/>
      <c r="AH46" s="22"/>
      <c r="AI46" s="22">
        <v>1</v>
      </c>
      <c r="AJ46" s="22"/>
      <c r="AK46" s="22">
        <v>1</v>
      </c>
      <c r="AL46" s="22">
        <v>1.3</v>
      </c>
      <c r="AM46" s="22"/>
      <c r="AN46" s="22">
        <v>1.3</v>
      </c>
      <c r="AO46" s="22"/>
      <c r="AP46" s="22">
        <v>1.3</v>
      </c>
      <c r="AQ46" s="22"/>
      <c r="AR46" s="22">
        <v>1.3</v>
      </c>
      <c r="AS46" s="22"/>
      <c r="AT46" s="22"/>
      <c r="AU46" s="22">
        <v>1</v>
      </c>
      <c r="AV46" s="22">
        <v>1.3</v>
      </c>
      <c r="AW46" s="22"/>
      <c r="AX46" s="22">
        <v>1.3</v>
      </c>
      <c r="AY46" s="22">
        <v>1.3</v>
      </c>
      <c r="AZ46" s="22"/>
      <c r="BA46" s="22"/>
      <c r="BB46" s="22"/>
      <c r="BC46" s="22"/>
      <c r="BD46" s="22">
        <v>1</v>
      </c>
      <c r="BE46" s="22"/>
      <c r="BF46" s="22"/>
      <c r="BG46" s="22">
        <v>1</v>
      </c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>
        <v>1</v>
      </c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3">
        <f>SUMPRODUCT(Table462[[#This Row],[1]:[100]],$F$2:$DA$2)</f>
        <v>96.992310739694688</v>
      </c>
      <c r="DC46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10.8</v>
      </c>
      <c r="DD46" s="26"/>
    </row>
    <row r="47" spans="1:108" x14ac:dyDescent="0.25">
      <c r="A47" s="27">
        <v>43</v>
      </c>
      <c r="B47" s="25" t="s">
        <v>190</v>
      </c>
      <c r="C47" s="25" t="s">
        <v>191</v>
      </c>
      <c r="D47" s="25" t="s">
        <v>317</v>
      </c>
      <c r="E47" s="25" t="s">
        <v>179</v>
      </c>
      <c r="F47" s="25">
        <v>1.3</v>
      </c>
      <c r="G47" s="25">
        <v>1.3</v>
      </c>
      <c r="H47" s="25">
        <v>1.3</v>
      </c>
      <c r="I47" s="25">
        <v>1.3</v>
      </c>
      <c r="J47" s="25">
        <v>1.3</v>
      </c>
      <c r="K47" s="25">
        <v>1.3</v>
      </c>
      <c r="L47" s="25">
        <v>1.3</v>
      </c>
      <c r="M47" s="25"/>
      <c r="N47" s="25">
        <v>1.3</v>
      </c>
      <c r="O47" s="25">
        <v>1.3</v>
      </c>
      <c r="P47" s="25">
        <v>1.3</v>
      </c>
      <c r="Q47" s="25">
        <v>1.3</v>
      </c>
      <c r="R47" s="25">
        <v>1.3</v>
      </c>
      <c r="S47" s="25"/>
      <c r="T47" s="25">
        <v>1.3</v>
      </c>
      <c r="U47" s="25">
        <v>1.3</v>
      </c>
      <c r="V47" s="25"/>
      <c r="W47" s="25">
        <v>1.3</v>
      </c>
      <c r="X47" s="25">
        <v>1.3</v>
      </c>
      <c r="Y47" s="25">
        <v>1</v>
      </c>
      <c r="Z47" s="25"/>
      <c r="AA47" s="25"/>
      <c r="AB47" s="25"/>
      <c r="AC47" s="25">
        <v>1.3</v>
      </c>
      <c r="AD47" s="25"/>
      <c r="AE47" s="22"/>
      <c r="AF47" s="22"/>
      <c r="AG47" s="22">
        <v>1</v>
      </c>
      <c r="AH47" s="22">
        <v>1</v>
      </c>
      <c r="AI47" s="22"/>
      <c r="AJ47" s="22"/>
      <c r="AK47" s="22">
        <v>1</v>
      </c>
      <c r="AL47" s="22"/>
      <c r="AM47" s="22">
        <v>1</v>
      </c>
      <c r="AN47" s="22"/>
      <c r="AO47" s="22"/>
      <c r="AP47" s="22">
        <v>1</v>
      </c>
      <c r="AQ47" s="22">
        <v>1.3</v>
      </c>
      <c r="AR47" s="22">
        <v>1.3</v>
      </c>
      <c r="AS47" s="22"/>
      <c r="AT47" s="22"/>
      <c r="AU47" s="22">
        <v>1.3</v>
      </c>
      <c r="AV47" s="22"/>
      <c r="AW47" s="22"/>
      <c r="AX47" s="22"/>
      <c r="AY47" s="22"/>
      <c r="AZ47" s="22"/>
      <c r="BA47" s="22"/>
      <c r="BB47" s="22"/>
      <c r="BC47" s="22"/>
      <c r="BD47" s="22">
        <v>1</v>
      </c>
      <c r="BE47" s="22">
        <v>1.3</v>
      </c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>
        <v>1</v>
      </c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3">
        <f>SUMPRODUCT(Table462[[#This Row],[1]:[100]],$F$2:$DA$2)</f>
        <v>83.365204085205491</v>
      </c>
      <c r="DC47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9.8000000000000007</v>
      </c>
      <c r="DD47" s="26"/>
    </row>
    <row r="48" spans="1:108" x14ac:dyDescent="0.25">
      <c r="A48" s="27">
        <v>44</v>
      </c>
      <c r="B48" s="25" t="s">
        <v>185</v>
      </c>
      <c r="C48" s="25" t="s">
        <v>186</v>
      </c>
      <c r="D48" s="25" t="s">
        <v>182</v>
      </c>
      <c r="E48" s="25"/>
      <c r="F48" s="25">
        <v>1.3</v>
      </c>
      <c r="G48" s="25">
        <v>1.3</v>
      </c>
      <c r="H48" s="25">
        <v>1.3</v>
      </c>
      <c r="I48" s="25">
        <v>1.3</v>
      </c>
      <c r="J48" s="25">
        <v>1.3</v>
      </c>
      <c r="K48" s="25">
        <v>1.3</v>
      </c>
      <c r="L48" s="25">
        <v>1</v>
      </c>
      <c r="M48" s="25"/>
      <c r="N48" s="25"/>
      <c r="O48" s="25">
        <v>1.3</v>
      </c>
      <c r="P48" s="25">
        <v>1.3</v>
      </c>
      <c r="Q48" s="25">
        <v>1.3</v>
      </c>
      <c r="R48" s="25">
        <v>1.3</v>
      </c>
      <c r="S48" s="25">
        <v>1.3</v>
      </c>
      <c r="T48" s="25">
        <v>1.3</v>
      </c>
      <c r="U48" s="25">
        <v>1.3</v>
      </c>
      <c r="V48" s="25">
        <v>1.3</v>
      </c>
      <c r="W48" s="25">
        <v>1.3</v>
      </c>
      <c r="X48" s="25">
        <v>1.3</v>
      </c>
      <c r="Y48" s="25"/>
      <c r="Z48" s="25">
        <v>1.3</v>
      </c>
      <c r="AA48" s="25"/>
      <c r="AB48" s="25"/>
      <c r="AC48" s="25"/>
      <c r="AD48" s="25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>
        <v>1.3</v>
      </c>
      <c r="AQ48" s="22">
        <v>1.3</v>
      </c>
      <c r="AR48" s="22">
        <v>1.3</v>
      </c>
      <c r="AS48" s="22">
        <v>1.3</v>
      </c>
      <c r="AT48" s="22"/>
      <c r="AU48" s="22">
        <v>1.3</v>
      </c>
      <c r="AV48" s="22"/>
      <c r="AW48" s="22">
        <v>1.3</v>
      </c>
      <c r="AX48" s="22"/>
      <c r="AY48" s="22">
        <v>1.3</v>
      </c>
      <c r="AZ48" s="22"/>
      <c r="BA48" s="22">
        <v>1</v>
      </c>
      <c r="BB48" s="22">
        <v>1.3</v>
      </c>
      <c r="BC48" s="22"/>
      <c r="BD48" s="22">
        <v>1.3</v>
      </c>
      <c r="BE48" s="22">
        <v>1.3</v>
      </c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3">
        <f>SUMPRODUCT(Table462[[#This Row],[1]:[100]],$F$2:$DA$2)</f>
        <v>78.707260806327341</v>
      </c>
      <c r="DC48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11.700000000000001</v>
      </c>
      <c r="DD48" s="26"/>
    </row>
    <row r="49" spans="1:108" x14ac:dyDescent="0.25">
      <c r="A49" s="27">
        <v>45</v>
      </c>
      <c r="B49" s="22" t="s">
        <v>234</v>
      </c>
      <c r="C49" s="22" t="s">
        <v>235</v>
      </c>
      <c r="D49" s="22" t="s">
        <v>346</v>
      </c>
      <c r="E49" s="22"/>
      <c r="F49" s="22">
        <v>1.3</v>
      </c>
      <c r="G49" s="22">
        <v>1.3</v>
      </c>
      <c r="H49" s="22">
        <v>1.3</v>
      </c>
      <c r="I49" s="22">
        <v>1.3</v>
      </c>
      <c r="J49" s="22">
        <v>1.3</v>
      </c>
      <c r="K49" s="22">
        <v>1.3</v>
      </c>
      <c r="L49" s="22">
        <v>1.3</v>
      </c>
      <c r="M49" s="22"/>
      <c r="N49" s="22"/>
      <c r="O49" s="22">
        <v>1.3</v>
      </c>
      <c r="P49" s="22">
        <v>1.3</v>
      </c>
      <c r="Q49" s="22">
        <v>1.3</v>
      </c>
      <c r="R49" s="22">
        <v>1.3</v>
      </c>
      <c r="S49" s="22">
        <v>1.3</v>
      </c>
      <c r="T49" s="22">
        <v>1.3</v>
      </c>
      <c r="U49" s="22">
        <v>1.3</v>
      </c>
      <c r="V49" s="22">
        <v>1.3</v>
      </c>
      <c r="W49" s="22">
        <v>1.3</v>
      </c>
      <c r="X49" s="22">
        <v>1.3</v>
      </c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>
        <v>1.3</v>
      </c>
      <c r="AJ49" s="22"/>
      <c r="AK49" s="22">
        <v>1</v>
      </c>
      <c r="AL49" s="22"/>
      <c r="AM49" s="22">
        <v>1</v>
      </c>
      <c r="AN49" s="22"/>
      <c r="AO49" s="22"/>
      <c r="AP49" s="22">
        <v>1.3</v>
      </c>
      <c r="AQ49" s="22"/>
      <c r="AR49" s="22"/>
      <c r="AS49" s="22">
        <v>1.3</v>
      </c>
      <c r="AT49" s="22"/>
      <c r="AU49" s="22">
        <v>1.3</v>
      </c>
      <c r="AV49" s="22">
        <v>1.3</v>
      </c>
      <c r="AW49" s="22">
        <v>1.3</v>
      </c>
      <c r="AX49" s="22"/>
      <c r="AY49" s="22">
        <v>1.3</v>
      </c>
      <c r="AZ49" s="22">
        <v>1.3</v>
      </c>
      <c r="BA49" s="22"/>
      <c r="BB49" s="22">
        <v>1.3</v>
      </c>
      <c r="BC49" s="22"/>
      <c r="BD49" s="22"/>
      <c r="BE49" s="22">
        <v>1.3</v>
      </c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4">
        <f>SUMPRODUCT(Table462[[#This Row],[1]:[100]],$F$2:$DA$2)</f>
        <v>78.219576125479065</v>
      </c>
      <c r="DC49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8.8000000000000007</v>
      </c>
      <c r="DD49" s="26"/>
    </row>
    <row r="50" spans="1:108" x14ac:dyDescent="0.25">
      <c r="A50" s="27">
        <v>46</v>
      </c>
      <c r="B50" s="25" t="s">
        <v>219</v>
      </c>
      <c r="C50" s="25" t="s">
        <v>220</v>
      </c>
      <c r="D50" s="25" t="s">
        <v>117</v>
      </c>
      <c r="E50" s="25"/>
      <c r="F50" s="25">
        <v>1.3</v>
      </c>
      <c r="G50" s="25">
        <v>1</v>
      </c>
      <c r="H50" s="25">
        <v>1.3</v>
      </c>
      <c r="I50" s="25">
        <v>1.3</v>
      </c>
      <c r="J50" s="25">
        <v>1.3</v>
      </c>
      <c r="K50" s="25">
        <v>1.3</v>
      </c>
      <c r="L50" s="25">
        <v>1.3</v>
      </c>
      <c r="M50" s="25"/>
      <c r="N50" s="25">
        <v>1</v>
      </c>
      <c r="O50" s="25">
        <v>1.3</v>
      </c>
      <c r="P50" s="25">
        <v>1</v>
      </c>
      <c r="Q50" s="25">
        <v>1.3</v>
      </c>
      <c r="R50" s="25"/>
      <c r="S50" s="25"/>
      <c r="T50" s="25">
        <v>1.3</v>
      </c>
      <c r="U50" s="25">
        <v>1.3</v>
      </c>
      <c r="V50" s="25">
        <v>1.3</v>
      </c>
      <c r="W50" s="25"/>
      <c r="X50" s="25">
        <v>1.3</v>
      </c>
      <c r="Y50" s="25"/>
      <c r="Z50" s="25"/>
      <c r="AA50" s="25"/>
      <c r="AB50" s="25"/>
      <c r="AC50" s="25">
        <v>1.3</v>
      </c>
      <c r="AD50" s="25"/>
      <c r="AE50" s="22"/>
      <c r="AF50" s="22"/>
      <c r="AG50" s="22">
        <v>1</v>
      </c>
      <c r="AH50" s="22"/>
      <c r="AI50" s="22"/>
      <c r="AJ50" s="22"/>
      <c r="AK50" s="22"/>
      <c r="AL50" s="22"/>
      <c r="AM50" s="22"/>
      <c r="AN50" s="22">
        <v>1</v>
      </c>
      <c r="AO50" s="22"/>
      <c r="AP50" s="22"/>
      <c r="AQ50" s="22"/>
      <c r="AR50" s="22"/>
      <c r="AS50" s="22"/>
      <c r="AT50" s="22"/>
      <c r="AU50" s="22"/>
      <c r="AV50" s="22"/>
      <c r="AW50" s="22">
        <v>1.3</v>
      </c>
      <c r="AX50" s="22"/>
      <c r="AY50" s="22">
        <v>1</v>
      </c>
      <c r="AZ50" s="22">
        <v>1</v>
      </c>
      <c r="BA50" s="22"/>
      <c r="BB50" s="22">
        <v>1.3</v>
      </c>
      <c r="BC50" s="22"/>
      <c r="BD50" s="22">
        <v>1.3</v>
      </c>
      <c r="BE50" s="22">
        <v>1.3</v>
      </c>
      <c r="BF50" s="22"/>
      <c r="BG50" s="22">
        <v>1.3</v>
      </c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>
        <v>1.3</v>
      </c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3">
        <f>SUMPRODUCT(Table462[[#This Row],[1]:[100]],$F$2:$DA$2)</f>
        <v>73.204359335288885</v>
      </c>
      <c r="DC50" s="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8.5</v>
      </c>
      <c r="DD50" s="26"/>
    </row>
    <row r="51" spans="1:108" x14ac:dyDescent="0.25">
      <c r="A51" s="27">
        <v>47</v>
      </c>
      <c r="B51" s="25" t="s">
        <v>326</v>
      </c>
      <c r="C51" s="25" t="s">
        <v>327</v>
      </c>
      <c r="D51" s="25" t="s">
        <v>346</v>
      </c>
      <c r="E51" s="25" t="s">
        <v>348</v>
      </c>
      <c r="F51" s="25">
        <v>1.3</v>
      </c>
      <c r="G51" s="25">
        <v>1</v>
      </c>
      <c r="H51" s="25">
        <v>1.3</v>
      </c>
      <c r="I51" s="25">
        <v>1.3</v>
      </c>
      <c r="J51" s="25">
        <v>1.3</v>
      </c>
      <c r="K51" s="25">
        <v>1.3</v>
      </c>
      <c r="L51" s="25">
        <v>1.3</v>
      </c>
      <c r="M51" s="25"/>
      <c r="N51" s="25">
        <v>1.3</v>
      </c>
      <c r="O51" s="25">
        <v>1.3</v>
      </c>
      <c r="P51" s="25">
        <v>1.3</v>
      </c>
      <c r="Q51" s="25">
        <v>1.3</v>
      </c>
      <c r="R51" s="25">
        <v>1.3</v>
      </c>
      <c r="S51" s="25">
        <v>1.3</v>
      </c>
      <c r="T51" s="25">
        <v>1.3</v>
      </c>
      <c r="U51" s="25">
        <v>1.3</v>
      </c>
      <c r="V51" s="25">
        <v>1.3</v>
      </c>
      <c r="W51" s="25">
        <v>1.3</v>
      </c>
      <c r="X51" s="25">
        <v>1.3</v>
      </c>
      <c r="Y51" s="25"/>
      <c r="Z51" s="25"/>
      <c r="AA51" s="25"/>
      <c r="AB51" s="25"/>
      <c r="AC51" s="25"/>
      <c r="AD51" s="25"/>
      <c r="AE51" s="22"/>
      <c r="AF51" s="22"/>
      <c r="AG51" s="22"/>
      <c r="AH51" s="22"/>
      <c r="AI51" s="22">
        <v>1.3</v>
      </c>
      <c r="AJ51" s="22"/>
      <c r="AK51" s="22">
        <v>1.3</v>
      </c>
      <c r="AL51" s="22"/>
      <c r="AM51" s="22">
        <v>1</v>
      </c>
      <c r="AN51" s="22">
        <v>1.3</v>
      </c>
      <c r="AO51" s="22"/>
      <c r="AP51" s="22"/>
      <c r="AQ51" s="22"/>
      <c r="AR51" s="22"/>
      <c r="AS51" s="22"/>
      <c r="AT51" s="22"/>
      <c r="AU51" s="22">
        <v>1.3</v>
      </c>
      <c r="AV51" s="22">
        <v>1.3</v>
      </c>
      <c r="AW51" s="22"/>
      <c r="AX51" s="22"/>
      <c r="AY51" s="22"/>
      <c r="AZ51" s="22"/>
      <c r="BA51" s="22"/>
      <c r="BB51" s="22"/>
      <c r="BC51" s="22"/>
      <c r="BD51" s="22">
        <v>1</v>
      </c>
      <c r="BE51" s="22">
        <v>1.3</v>
      </c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3">
        <f>SUMPRODUCT(Table462[[#This Row],[1]:[100]],$F$2:$DA$2)</f>
        <v>67.23894802245195</v>
      </c>
      <c r="DC51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10.1</v>
      </c>
      <c r="DD51" s="26"/>
    </row>
    <row r="52" spans="1:108" x14ac:dyDescent="0.25">
      <c r="A52" s="27">
        <v>48</v>
      </c>
      <c r="B52" s="25" t="s">
        <v>160</v>
      </c>
      <c r="C52" s="25" t="s">
        <v>161</v>
      </c>
      <c r="D52" s="25" t="s">
        <v>346</v>
      </c>
      <c r="E52" s="25" t="s">
        <v>162</v>
      </c>
      <c r="F52" s="25">
        <v>1.3</v>
      </c>
      <c r="G52" s="25">
        <v>1.3</v>
      </c>
      <c r="H52" s="25">
        <v>1.3</v>
      </c>
      <c r="I52" s="25">
        <v>1.3</v>
      </c>
      <c r="J52" s="25">
        <v>1.3</v>
      </c>
      <c r="K52" s="25">
        <v>1.3</v>
      </c>
      <c r="L52" s="25">
        <v>1.3</v>
      </c>
      <c r="M52" s="25"/>
      <c r="N52" s="25"/>
      <c r="O52" s="25">
        <v>1.3</v>
      </c>
      <c r="P52" s="25">
        <v>1.3</v>
      </c>
      <c r="Q52" s="25">
        <v>1.3</v>
      </c>
      <c r="R52" s="25">
        <v>1.3</v>
      </c>
      <c r="S52" s="25">
        <v>1</v>
      </c>
      <c r="T52" s="25">
        <v>1.3</v>
      </c>
      <c r="U52" s="25">
        <v>1.3</v>
      </c>
      <c r="V52" s="25">
        <v>1.3</v>
      </c>
      <c r="W52" s="25">
        <v>1.3</v>
      </c>
      <c r="X52" s="25">
        <v>1.3</v>
      </c>
      <c r="Y52" s="25">
        <v>1</v>
      </c>
      <c r="Z52" s="25">
        <v>1</v>
      </c>
      <c r="AA52" s="25"/>
      <c r="AB52" s="25"/>
      <c r="AC52" s="25"/>
      <c r="AD52" s="25"/>
      <c r="AE52" s="22"/>
      <c r="AF52" s="22"/>
      <c r="AG52" s="22"/>
      <c r="AH52" s="22"/>
      <c r="AI52" s="22">
        <v>1.3</v>
      </c>
      <c r="AJ52" s="22"/>
      <c r="AK52" s="22"/>
      <c r="AL52" s="22"/>
      <c r="AM52" s="22"/>
      <c r="AN52" s="22">
        <v>1.3</v>
      </c>
      <c r="AO52" s="22"/>
      <c r="AP52" s="22"/>
      <c r="AQ52" s="22"/>
      <c r="AR52" s="22"/>
      <c r="AS52" s="22">
        <v>1.3</v>
      </c>
      <c r="AT52" s="22"/>
      <c r="AU52" s="22">
        <v>1.3</v>
      </c>
      <c r="AV52" s="22"/>
      <c r="AW52" s="22"/>
      <c r="AX52" s="22"/>
      <c r="AY52" s="22"/>
      <c r="AZ52" s="22"/>
      <c r="BA52" s="22"/>
      <c r="BB52" s="22">
        <v>1.3</v>
      </c>
      <c r="BC52" s="22"/>
      <c r="BD52" s="22"/>
      <c r="BE52" s="22">
        <v>1.3</v>
      </c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3">
        <f>SUMPRODUCT(Table462[[#This Row],[1]:[100]],$F$2:$DA$2)</f>
        <v>63.725901973535187</v>
      </c>
      <c r="DC52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7.8</v>
      </c>
      <c r="DD52" s="26"/>
    </row>
    <row r="53" spans="1:108" x14ac:dyDescent="0.25">
      <c r="A53" s="27">
        <v>49</v>
      </c>
      <c r="B53" s="25" t="s">
        <v>207</v>
      </c>
      <c r="C53" s="25" t="s">
        <v>208</v>
      </c>
      <c r="D53" s="25" t="s">
        <v>182</v>
      </c>
      <c r="E53" s="25"/>
      <c r="F53" s="25">
        <v>1.3</v>
      </c>
      <c r="G53" s="25">
        <v>1.3</v>
      </c>
      <c r="H53" s="25">
        <v>1.3</v>
      </c>
      <c r="I53" s="25">
        <v>1.3</v>
      </c>
      <c r="J53" s="25">
        <v>1.3</v>
      </c>
      <c r="K53" s="25">
        <v>1</v>
      </c>
      <c r="L53" s="25">
        <v>1.3</v>
      </c>
      <c r="M53" s="25">
        <v>1</v>
      </c>
      <c r="N53" s="25">
        <v>1</v>
      </c>
      <c r="O53" s="25">
        <v>1.3</v>
      </c>
      <c r="P53" s="25">
        <v>1.3</v>
      </c>
      <c r="Q53" s="25">
        <v>1.3</v>
      </c>
      <c r="R53" s="25">
        <v>1.3</v>
      </c>
      <c r="S53" s="25">
        <v>1.3</v>
      </c>
      <c r="T53" s="25">
        <v>1.3</v>
      </c>
      <c r="U53" s="25">
        <v>1.3</v>
      </c>
      <c r="V53" s="25">
        <v>1.3</v>
      </c>
      <c r="W53" s="25">
        <v>1.3</v>
      </c>
      <c r="X53" s="25">
        <v>1.3</v>
      </c>
      <c r="Y53" s="25"/>
      <c r="Z53" s="25"/>
      <c r="AA53" s="25"/>
      <c r="AB53" s="25"/>
      <c r="AC53" s="25"/>
      <c r="AD53" s="25"/>
      <c r="AE53" s="22"/>
      <c r="AF53" s="22"/>
      <c r="AG53" s="22"/>
      <c r="AH53" s="22"/>
      <c r="AI53" s="22">
        <v>1.3</v>
      </c>
      <c r="AJ53" s="22"/>
      <c r="AK53" s="22">
        <v>1</v>
      </c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>
        <v>1.3</v>
      </c>
      <c r="AW53" s="22"/>
      <c r="AX53" s="22"/>
      <c r="AY53" s="22"/>
      <c r="AZ53" s="22"/>
      <c r="BA53" s="22"/>
      <c r="BB53" s="22">
        <v>1</v>
      </c>
      <c r="BC53" s="22"/>
      <c r="BD53" s="22">
        <v>1.3</v>
      </c>
      <c r="BE53" s="22">
        <v>1</v>
      </c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3">
        <f>SUMPRODUCT(Table462[[#This Row],[1]:[100]],$F$2:$DA$2)</f>
        <v>61.280585832804448</v>
      </c>
      <c r="DC53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8.5</v>
      </c>
      <c r="DD53" s="26"/>
    </row>
    <row r="54" spans="1:108" x14ac:dyDescent="0.25">
      <c r="A54" s="27">
        <v>50</v>
      </c>
      <c r="B54" s="25" t="s">
        <v>328</v>
      </c>
      <c r="C54" s="25" t="s">
        <v>275</v>
      </c>
      <c r="D54" s="25" t="s">
        <v>344</v>
      </c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2"/>
      <c r="AF54" s="22">
        <v>1.3</v>
      </c>
      <c r="AG54" s="22"/>
      <c r="AH54" s="22"/>
      <c r="AI54" s="22">
        <v>1.3</v>
      </c>
      <c r="AJ54" s="22"/>
      <c r="AK54" s="22"/>
      <c r="AL54" s="22"/>
      <c r="AM54" s="22"/>
      <c r="AN54" s="22"/>
      <c r="AO54" s="22">
        <v>1.3</v>
      </c>
      <c r="AP54" s="22">
        <v>1.3</v>
      </c>
      <c r="AQ54" s="22"/>
      <c r="AR54" s="22">
        <v>1.3</v>
      </c>
      <c r="AS54" s="22"/>
      <c r="AT54" s="22"/>
      <c r="AU54" s="22"/>
      <c r="AV54" s="22"/>
      <c r="AW54" s="22">
        <v>1.3</v>
      </c>
      <c r="AX54" s="22"/>
      <c r="AY54" s="22">
        <v>1.3</v>
      </c>
      <c r="AZ54" s="22">
        <v>1.3</v>
      </c>
      <c r="BA54" s="22">
        <v>1.3</v>
      </c>
      <c r="BB54" s="22">
        <v>1.3</v>
      </c>
      <c r="BC54" s="22"/>
      <c r="BD54" s="22">
        <v>1.3</v>
      </c>
      <c r="BE54" s="22">
        <v>1.3</v>
      </c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>
        <v>1.3</v>
      </c>
      <c r="BR54" s="22"/>
      <c r="BS54" s="22"/>
      <c r="BT54" s="22"/>
      <c r="BU54" s="22"/>
      <c r="BV54" s="22"/>
      <c r="BW54" s="22"/>
      <c r="BX54" s="22"/>
      <c r="BY54" s="22">
        <v>1.3</v>
      </c>
      <c r="BZ54" s="22"/>
      <c r="CA54" s="22"/>
      <c r="CB54" s="22"/>
      <c r="CC54" s="22"/>
      <c r="CD54" s="22">
        <v>1.3</v>
      </c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3">
        <f>SUMPRODUCT(Table462[[#This Row],[1]:[100]],$F$2:$DA$2)</f>
        <v>60.855699170197447</v>
      </c>
      <c r="DC54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6.5</v>
      </c>
      <c r="DD54" s="26"/>
    </row>
    <row r="55" spans="1:108" x14ac:dyDescent="0.25">
      <c r="A55" s="27">
        <v>51</v>
      </c>
      <c r="B55" s="25" t="s">
        <v>173</v>
      </c>
      <c r="C55" s="25" t="s">
        <v>174</v>
      </c>
      <c r="D55" s="25" t="s">
        <v>346</v>
      </c>
      <c r="E55" s="25"/>
      <c r="F55" s="25">
        <v>1.3</v>
      </c>
      <c r="G55" s="25">
        <v>1.3</v>
      </c>
      <c r="H55" s="25">
        <v>1.3</v>
      </c>
      <c r="I55" s="25">
        <v>1.3</v>
      </c>
      <c r="J55" s="25">
        <v>1.3</v>
      </c>
      <c r="K55" s="25">
        <v>1</v>
      </c>
      <c r="L55" s="25">
        <v>1.3</v>
      </c>
      <c r="M55" s="25"/>
      <c r="N55" s="25"/>
      <c r="O55" s="25">
        <v>1.3</v>
      </c>
      <c r="P55" s="25"/>
      <c r="Q55" s="25">
        <v>1.3</v>
      </c>
      <c r="R55" s="25">
        <v>1.3</v>
      </c>
      <c r="S55" s="25">
        <v>1.3</v>
      </c>
      <c r="T55" s="25">
        <v>1.3</v>
      </c>
      <c r="U55" s="25">
        <v>1.3</v>
      </c>
      <c r="V55" s="25">
        <v>1.3</v>
      </c>
      <c r="W55" s="25">
        <v>1.3</v>
      </c>
      <c r="X55" s="25">
        <v>1.3</v>
      </c>
      <c r="Y55" s="25"/>
      <c r="Z55" s="25"/>
      <c r="AA55" s="25"/>
      <c r="AB55" s="25"/>
      <c r="AC55" s="25"/>
      <c r="AD55" s="25"/>
      <c r="AE55" s="22"/>
      <c r="AF55" s="22"/>
      <c r="AG55" s="22"/>
      <c r="AH55" s="22"/>
      <c r="AI55" s="22">
        <v>1.3</v>
      </c>
      <c r="AJ55" s="22"/>
      <c r="AK55" s="22"/>
      <c r="AL55" s="22"/>
      <c r="AM55" s="22"/>
      <c r="AN55" s="22"/>
      <c r="AO55" s="22"/>
      <c r="AP55" s="22">
        <v>1</v>
      </c>
      <c r="AQ55" s="22"/>
      <c r="AR55" s="22">
        <v>1</v>
      </c>
      <c r="AS55" s="22">
        <v>1</v>
      </c>
      <c r="AT55" s="22"/>
      <c r="AU55" s="22">
        <v>1.3</v>
      </c>
      <c r="AV55" s="22"/>
      <c r="AW55" s="22">
        <v>1</v>
      </c>
      <c r="AX55" s="22"/>
      <c r="AY55" s="22">
        <v>1</v>
      </c>
      <c r="AZ55" s="22"/>
      <c r="BA55" s="22"/>
      <c r="BB55" s="22">
        <v>1.3</v>
      </c>
      <c r="BC55" s="22"/>
      <c r="BD55" s="22"/>
      <c r="BE55" s="22">
        <v>1</v>
      </c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3">
        <f>SUMPRODUCT(Table462[[#This Row],[1]:[100]],$F$2:$DA$2)</f>
        <v>59.908816450564736</v>
      </c>
      <c r="DC55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8.1999999999999993</v>
      </c>
      <c r="DD55" s="26"/>
    </row>
    <row r="56" spans="1:108" x14ac:dyDescent="0.25">
      <c r="A56" s="27">
        <v>60</v>
      </c>
      <c r="B56" s="25" t="s">
        <v>266</v>
      </c>
      <c r="C56" s="25" t="s">
        <v>267</v>
      </c>
      <c r="D56" s="25" t="s">
        <v>346</v>
      </c>
      <c r="E56" s="25" t="s">
        <v>349</v>
      </c>
      <c r="F56" s="25">
        <v>1.3</v>
      </c>
      <c r="G56" s="25">
        <v>1.3</v>
      </c>
      <c r="H56" s="25">
        <v>1.3</v>
      </c>
      <c r="I56" s="25">
        <v>1.3</v>
      </c>
      <c r="J56" s="25">
        <v>1.3</v>
      </c>
      <c r="K56" s="25">
        <v>1.3</v>
      </c>
      <c r="L56" s="25">
        <v>1.3</v>
      </c>
      <c r="M56" s="25"/>
      <c r="N56" s="25">
        <v>1</v>
      </c>
      <c r="O56" s="25">
        <v>1</v>
      </c>
      <c r="P56" s="25"/>
      <c r="Q56" s="25">
        <v>1.3</v>
      </c>
      <c r="R56" s="25">
        <v>1.3</v>
      </c>
      <c r="S56" s="25">
        <v>1</v>
      </c>
      <c r="T56" s="25">
        <v>1.3</v>
      </c>
      <c r="U56" s="25">
        <v>1.3</v>
      </c>
      <c r="V56" s="25">
        <v>1.3</v>
      </c>
      <c r="W56" s="25"/>
      <c r="X56" s="25">
        <v>1.3</v>
      </c>
      <c r="Y56" s="25"/>
      <c r="Z56" s="25"/>
      <c r="AA56" s="25"/>
      <c r="AB56" s="25"/>
      <c r="AC56" s="25"/>
      <c r="AD56" s="25"/>
      <c r="AE56" s="22"/>
      <c r="AF56" s="22"/>
      <c r="AG56" s="22"/>
      <c r="AH56" s="22"/>
      <c r="AI56" s="22">
        <v>1.3</v>
      </c>
      <c r="AJ56" s="22"/>
      <c r="AK56" s="22"/>
      <c r="AL56" s="22"/>
      <c r="AM56" s="22"/>
      <c r="AN56" s="22"/>
      <c r="AO56" s="22"/>
      <c r="AP56" s="22"/>
      <c r="AQ56" s="22"/>
      <c r="AR56" s="22">
        <v>1</v>
      </c>
      <c r="AS56" s="22">
        <v>1</v>
      </c>
      <c r="AT56" s="22"/>
      <c r="AU56" s="22"/>
      <c r="AV56" s="22"/>
      <c r="AW56" s="22">
        <v>1</v>
      </c>
      <c r="AX56" s="22"/>
      <c r="AY56" s="22"/>
      <c r="AZ56" s="22"/>
      <c r="BA56" s="22"/>
      <c r="BB56" s="22">
        <v>1.3</v>
      </c>
      <c r="BC56" s="22"/>
      <c r="BD56" s="22"/>
      <c r="BE56" s="22">
        <v>1.3</v>
      </c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3">
        <f>SUMPRODUCT(Table462[[#This Row],[1]:[100]],$F$2:$DA$2)</f>
        <v>52.49847210261526</v>
      </c>
      <c r="DC56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7.8999999999999995</v>
      </c>
      <c r="DD56" s="26"/>
    </row>
    <row r="57" spans="1:108" x14ac:dyDescent="0.25">
      <c r="A57" s="27">
        <v>52</v>
      </c>
      <c r="B57" s="25" t="s">
        <v>175</v>
      </c>
      <c r="C57" s="25" t="s">
        <v>268</v>
      </c>
      <c r="D57" s="25" t="s">
        <v>346</v>
      </c>
      <c r="E57" s="25"/>
      <c r="F57" s="25">
        <v>1</v>
      </c>
      <c r="G57" s="25">
        <v>1.3</v>
      </c>
      <c r="H57" s="25">
        <v>1.3</v>
      </c>
      <c r="I57" s="25">
        <v>1.3</v>
      </c>
      <c r="J57" s="25">
        <v>1.3</v>
      </c>
      <c r="K57" s="25">
        <v>1</v>
      </c>
      <c r="L57" s="25">
        <v>1.3</v>
      </c>
      <c r="M57" s="25"/>
      <c r="N57" s="25"/>
      <c r="O57" s="25">
        <v>1</v>
      </c>
      <c r="P57" s="25"/>
      <c r="Q57" s="25">
        <v>1.3</v>
      </c>
      <c r="R57" s="25">
        <v>1.3</v>
      </c>
      <c r="S57" s="25">
        <v>1.3</v>
      </c>
      <c r="T57" s="25">
        <v>1.3</v>
      </c>
      <c r="U57" s="25">
        <v>1.3</v>
      </c>
      <c r="V57" s="25"/>
      <c r="W57" s="25">
        <v>1</v>
      </c>
      <c r="X57" s="25">
        <v>1.3</v>
      </c>
      <c r="Y57" s="25"/>
      <c r="Z57" s="25"/>
      <c r="AA57" s="25"/>
      <c r="AB57" s="25"/>
      <c r="AC57" s="25"/>
      <c r="AD57" s="25"/>
      <c r="AE57" s="22"/>
      <c r="AF57" s="22">
        <v>1</v>
      </c>
      <c r="AG57" s="22"/>
      <c r="AH57" s="22"/>
      <c r="AI57" s="22">
        <v>1.3</v>
      </c>
      <c r="AJ57" s="22"/>
      <c r="AK57" s="22"/>
      <c r="AL57" s="22"/>
      <c r="AM57" s="22"/>
      <c r="AN57" s="22">
        <v>1</v>
      </c>
      <c r="AO57" s="22"/>
      <c r="AP57" s="22">
        <v>1.3</v>
      </c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>
        <v>1</v>
      </c>
      <c r="BE57" s="22">
        <v>1.3</v>
      </c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3">
        <f>SUMPRODUCT(Table462[[#This Row],[1]:[100]],$F$2:$DA$2)</f>
        <v>47.9129002225487</v>
      </c>
      <c r="DC57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5.6</v>
      </c>
      <c r="DD57" s="26"/>
    </row>
    <row r="58" spans="1:108" x14ac:dyDescent="0.25">
      <c r="A58" s="27">
        <v>53</v>
      </c>
      <c r="B58" s="25" t="s">
        <v>286</v>
      </c>
      <c r="C58" s="25" t="s">
        <v>285</v>
      </c>
      <c r="D58" s="25" t="s">
        <v>346</v>
      </c>
      <c r="E58" s="25"/>
      <c r="F58" s="25">
        <v>1.3</v>
      </c>
      <c r="G58" s="25">
        <v>1.3</v>
      </c>
      <c r="H58" s="25">
        <v>1.3</v>
      </c>
      <c r="I58" s="25">
        <v>1.3</v>
      </c>
      <c r="J58" s="25">
        <v>1.3</v>
      </c>
      <c r="K58" s="25">
        <v>1.3</v>
      </c>
      <c r="L58" s="25"/>
      <c r="M58" s="25"/>
      <c r="N58" s="25"/>
      <c r="O58" s="25"/>
      <c r="P58" s="25"/>
      <c r="Q58" s="25"/>
      <c r="R58" s="25">
        <v>1.3</v>
      </c>
      <c r="S58" s="25"/>
      <c r="T58" s="25"/>
      <c r="U58" s="25">
        <v>1.3</v>
      </c>
      <c r="V58" s="25"/>
      <c r="W58" s="25">
        <v>1.3</v>
      </c>
      <c r="X58" s="25">
        <v>1.3</v>
      </c>
      <c r="Y58" s="25">
        <v>1</v>
      </c>
      <c r="Z58" s="25">
        <v>1</v>
      </c>
      <c r="AA58" s="25"/>
      <c r="AB58" s="25">
        <v>1.3</v>
      </c>
      <c r="AC58" s="25">
        <v>1</v>
      </c>
      <c r="AD58" s="25"/>
      <c r="AE58" s="22"/>
      <c r="AF58" s="22">
        <v>1</v>
      </c>
      <c r="AG58" s="22"/>
      <c r="AH58" s="22"/>
      <c r="AI58" s="22">
        <v>1.3</v>
      </c>
      <c r="AJ58" s="22"/>
      <c r="AK58" s="22"/>
      <c r="AL58" s="22"/>
      <c r="AM58" s="22"/>
      <c r="AN58" s="22"/>
      <c r="AO58" s="22"/>
      <c r="AP58" s="22"/>
      <c r="AQ58" s="22"/>
      <c r="AR58" s="22">
        <v>1</v>
      </c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>
        <v>1.3</v>
      </c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3">
        <f>SUMPRODUCT(Table462[[#This Row],[1]:[100]],$F$2:$DA$2)</f>
        <v>47.476547890268364</v>
      </c>
      <c r="DC58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4.9000000000000004</v>
      </c>
      <c r="DD58" s="26"/>
    </row>
    <row r="59" spans="1:108" x14ac:dyDescent="0.25">
      <c r="A59" s="27">
        <v>54</v>
      </c>
      <c r="B59" s="25" t="s">
        <v>169</v>
      </c>
      <c r="C59" s="25" t="s">
        <v>320</v>
      </c>
      <c r="D59" s="25" t="s">
        <v>346</v>
      </c>
      <c r="E59" s="25"/>
      <c r="F59" s="25">
        <v>1</v>
      </c>
      <c r="G59" s="25">
        <v>1.3</v>
      </c>
      <c r="H59" s="25">
        <v>1.3</v>
      </c>
      <c r="I59" s="25">
        <v>1.3</v>
      </c>
      <c r="J59" s="25">
        <v>1.3</v>
      </c>
      <c r="K59" s="25">
        <v>1.3</v>
      </c>
      <c r="L59" s="25">
        <v>1</v>
      </c>
      <c r="M59" s="25"/>
      <c r="N59" s="25">
        <v>1</v>
      </c>
      <c r="O59" s="25">
        <v>1</v>
      </c>
      <c r="P59" s="25">
        <v>1</v>
      </c>
      <c r="Q59" s="25">
        <v>1.3</v>
      </c>
      <c r="R59" s="25">
        <v>1.3</v>
      </c>
      <c r="S59" s="25">
        <v>1.3</v>
      </c>
      <c r="T59" s="25">
        <v>1.3</v>
      </c>
      <c r="U59" s="25">
        <v>1.3</v>
      </c>
      <c r="V59" s="25">
        <v>1.3</v>
      </c>
      <c r="W59" s="25">
        <v>1.3</v>
      </c>
      <c r="X59" s="25">
        <v>1.3</v>
      </c>
      <c r="Y59" s="25"/>
      <c r="Z59" s="25"/>
      <c r="AA59" s="25"/>
      <c r="AB59" s="25"/>
      <c r="AC59" s="25"/>
      <c r="AD59" s="25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>
        <v>1</v>
      </c>
      <c r="BE59" s="22">
        <v>1</v>
      </c>
      <c r="BF59" s="22"/>
      <c r="BG59" s="22">
        <v>1</v>
      </c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3">
        <f>SUMPRODUCT(Table462[[#This Row],[1]:[100]],$F$2:$DA$2)</f>
        <v>47.264135133445528</v>
      </c>
      <c r="DC59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7.1999999999999993</v>
      </c>
      <c r="DD59" s="26"/>
    </row>
    <row r="60" spans="1:108" x14ac:dyDescent="0.25">
      <c r="A60" s="27">
        <v>55</v>
      </c>
      <c r="B60" s="25" t="s">
        <v>150</v>
      </c>
      <c r="C60" s="25" t="s">
        <v>151</v>
      </c>
      <c r="D60" s="25" t="s">
        <v>346</v>
      </c>
      <c r="E60" s="25" t="s">
        <v>152</v>
      </c>
      <c r="F60" s="25">
        <v>1.3</v>
      </c>
      <c r="G60" s="25">
        <v>1.3</v>
      </c>
      <c r="H60" s="25">
        <v>1.3</v>
      </c>
      <c r="I60" s="25">
        <v>1.3</v>
      </c>
      <c r="J60" s="25">
        <v>1.3</v>
      </c>
      <c r="K60" s="25">
        <v>1.3</v>
      </c>
      <c r="L60" s="25">
        <v>1</v>
      </c>
      <c r="M60" s="25">
        <v>1</v>
      </c>
      <c r="N60" s="25"/>
      <c r="O60" s="25">
        <v>1</v>
      </c>
      <c r="P60" s="25">
        <v>1</v>
      </c>
      <c r="Q60" s="25">
        <v>1.3</v>
      </c>
      <c r="R60" s="25"/>
      <c r="S60" s="25"/>
      <c r="T60" s="25">
        <v>1.3</v>
      </c>
      <c r="U60" s="25">
        <v>1</v>
      </c>
      <c r="V60" s="25"/>
      <c r="W60" s="25">
        <v>1.3</v>
      </c>
      <c r="X60" s="25">
        <v>1.3</v>
      </c>
      <c r="Y60" s="25"/>
      <c r="Z60" s="25">
        <v>1</v>
      </c>
      <c r="AA60" s="25"/>
      <c r="AB60" s="25"/>
      <c r="AC60" s="25"/>
      <c r="AD60" s="25"/>
      <c r="AE60" s="22"/>
      <c r="AF60" s="22"/>
      <c r="AG60" s="22"/>
      <c r="AH60" s="22"/>
      <c r="AI60" s="22">
        <v>1</v>
      </c>
      <c r="AJ60" s="22"/>
      <c r="AK60" s="22"/>
      <c r="AL60" s="22"/>
      <c r="AM60" s="22"/>
      <c r="AN60" s="22"/>
      <c r="AO60" s="22"/>
      <c r="AP60" s="22"/>
      <c r="AQ60" s="22"/>
      <c r="AR60" s="22"/>
      <c r="AS60" s="22">
        <v>1</v>
      </c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3">
        <f>SUMPRODUCT(Table462[[#This Row],[1]:[100]],$F$2:$DA$2)</f>
        <v>40.57475244277898</v>
      </c>
      <c r="DC60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4.9000000000000004</v>
      </c>
      <c r="DD60" s="26"/>
    </row>
    <row r="61" spans="1:108" x14ac:dyDescent="0.25">
      <c r="A61" s="27">
        <v>56</v>
      </c>
      <c r="B61" s="25" t="s">
        <v>319</v>
      </c>
      <c r="C61" s="25" t="s">
        <v>320</v>
      </c>
      <c r="D61" s="25" t="s">
        <v>346</v>
      </c>
      <c r="E61" s="25"/>
      <c r="F61" s="25">
        <v>1.3</v>
      </c>
      <c r="G61" s="25">
        <v>1.3</v>
      </c>
      <c r="H61" s="25">
        <v>1.3</v>
      </c>
      <c r="I61" s="25">
        <v>1.3</v>
      </c>
      <c r="J61" s="25">
        <v>1.3</v>
      </c>
      <c r="K61" s="25">
        <v>1</v>
      </c>
      <c r="L61" s="25">
        <v>1</v>
      </c>
      <c r="M61" s="25"/>
      <c r="N61" s="25"/>
      <c r="O61" s="25"/>
      <c r="P61" s="25">
        <v>1</v>
      </c>
      <c r="Q61" s="25">
        <v>1</v>
      </c>
      <c r="R61" s="25">
        <v>1.3</v>
      </c>
      <c r="S61" s="25">
        <v>1.3</v>
      </c>
      <c r="T61" s="25">
        <v>1.3</v>
      </c>
      <c r="U61" s="25">
        <v>1.3</v>
      </c>
      <c r="V61" s="25">
        <v>1.3</v>
      </c>
      <c r="W61" s="25"/>
      <c r="X61" s="25">
        <v>1.3</v>
      </c>
      <c r="Y61" s="25"/>
      <c r="Z61" s="25"/>
      <c r="AA61" s="25"/>
      <c r="AB61" s="25"/>
      <c r="AC61" s="25"/>
      <c r="AD61" s="25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>
        <v>1.3</v>
      </c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3">
        <f>SUMPRODUCT(Table462[[#This Row],[1]:[100]],$F$2:$DA$2)</f>
        <v>35.581926184902635</v>
      </c>
      <c r="DC61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3.9000000000000004</v>
      </c>
      <c r="DD61" s="26"/>
    </row>
    <row r="62" spans="1:108" x14ac:dyDescent="0.25">
      <c r="A62" s="27">
        <v>59</v>
      </c>
      <c r="B62" s="25" t="s">
        <v>329</v>
      </c>
      <c r="C62" s="25" t="s">
        <v>330</v>
      </c>
      <c r="D62" s="25" t="s">
        <v>346</v>
      </c>
      <c r="E62" s="25"/>
      <c r="F62" s="25">
        <v>1.3</v>
      </c>
      <c r="G62" s="25">
        <v>1.3</v>
      </c>
      <c r="H62" s="25">
        <v>1.3</v>
      </c>
      <c r="I62" s="25">
        <v>1.3</v>
      </c>
      <c r="J62" s="25">
        <v>1.3</v>
      </c>
      <c r="K62" s="25">
        <v>1.3</v>
      </c>
      <c r="L62" s="25">
        <v>1</v>
      </c>
      <c r="M62" s="25"/>
      <c r="N62" s="25"/>
      <c r="O62" s="25">
        <v>1.3</v>
      </c>
      <c r="P62" s="25"/>
      <c r="Q62" s="25">
        <v>1</v>
      </c>
      <c r="R62" s="25"/>
      <c r="S62" s="25"/>
      <c r="T62" s="25">
        <v>1.3</v>
      </c>
      <c r="U62" s="25">
        <v>1.3</v>
      </c>
      <c r="V62" s="25"/>
      <c r="W62" s="25">
        <v>1.3</v>
      </c>
      <c r="X62" s="25">
        <v>1.3</v>
      </c>
      <c r="Y62" s="25"/>
      <c r="Z62" s="25"/>
      <c r="AA62" s="25"/>
      <c r="AB62" s="25"/>
      <c r="AC62" s="25"/>
      <c r="AD62" s="25"/>
      <c r="AE62" s="22"/>
      <c r="AF62" s="22"/>
      <c r="AG62" s="22"/>
      <c r="AH62" s="22"/>
      <c r="AI62" s="22">
        <v>1.3</v>
      </c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>
        <v>1</v>
      </c>
      <c r="BE62" s="22">
        <v>1</v>
      </c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3">
        <f>SUMPRODUCT(Table462[[#This Row],[1]:[100]],$F$2:$DA$2)</f>
        <v>35.173305331353873</v>
      </c>
      <c r="DC62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4.9000000000000004</v>
      </c>
      <c r="DD62" s="26"/>
    </row>
    <row r="63" spans="1:108" x14ac:dyDescent="0.25">
      <c r="A63" s="27">
        <v>57</v>
      </c>
      <c r="B63" s="25" t="s">
        <v>155</v>
      </c>
      <c r="C63" s="25" t="s">
        <v>156</v>
      </c>
      <c r="D63" s="25" t="s">
        <v>346</v>
      </c>
      <c r="E63" s="25"/>
      <c r="F63" s="25">
        <v>1.3</v>
      </c>
      <c r="G63" s="25">
        <v>1.3</v>
      </c>
      <c r="H63" s="25">
        <v>1.3</v>
      </c>
      <c r="I63" s="25">
        <v>1.3</v>
      </c>
      <c r="J63" s="25">
        <v>1.3</v>
      </c>
      <c r="K63" s="25">
        <v>1.3</v>
      </c>
      <c r="L63" s="25">
        <v>1</v>
      </c>
      <c r="M63" s="25"/>
      <c r="N63" s="25"/>
      <c r="O63" s="25"/>
      <c r="P63" s="25"/>
      <c r="Q63" s="25">
        <v>1.3</v>
      </c>
      <c r="R63" s="25"/>
      <c r="S63" s="25">
        <v>1.3</v>
      </c>
      <c r="T63" s="25">
        <v>1.3</v>
      </c>
      <c r="U63" s="25">
        <v>1.3</v>
      </c>
      <c r="V63" s="25"/>
      <c r="W63" s="25">
        <v>1.3</v>
      </c>
      <c r="X63" s="25">
        <v>1.3</v>
      </c>
      <c r="Y63" s="25"/>
      <c r="Z63" s="25"/>
      <c r="AA63" s="25"/>
      <c r="AB63" s="25"/>
      <c r="AC63" s="25"/>
      <c r="AD63" s="25"/>
      <c r="AE63" s="22"/>
      <c r="AF63" s="22"/>
      <c r="AG63" s="22"/>
      <c r="AH63" s="22"/>
      <c r="AI63" s="22">
        <v>1</v>
      </c>
      <c r="AJ63" s="22"/>
      <c r="AK63" s="22"/>
      <c r="AL63" s="22"/>
      <c r="AM63" s="22"/>
      <c r="AN63" s="22">
        <v>1</v>
      </c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3">
        <f>SUMPRODUCT(Table462[[#This Row],[1]:[100]],$F$2:$DA$2)</f>
        <v>34.024729596311971</v>
      </c>
      <c r="DC63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4.9000000000000004</v>
      </c>
      <c r="DD63" s="26"/>
    </row>
    <row r="64" spans="1:108" x14ac:dyDescent="0.25">
      <c r="A64" s="27">
        <v>58</v>
      </c>
      <c r="B64" s="25" t="s">
        <v>192</v>
      </c>
      <c r="C64" s="25" t="s">
        <v>257</v>
      </c>
      <c r="D64" s="25" t="s">
        <v>346</v>
      </c>
      <c r="E64" s="25"/>
      <c r="F64" s="25"/>
      <c r="G64" s="25"/>
      <c r="H64" s="25"/>
      <c r="I64" s="25">
        <v>1.3</v>
      </c>
      <c r="J64" s="25">
        <v>1.3</v>
      </c>
      <c r="K64" s="25"/>
      <c r="L64" s="25">
        <v>1.3</v>
      </c>
      <c r="M64" s="25"/>
      <c r="N64" s="25"/>
      <c r="O64" s="25">
        <v>1</v>
      </c>
      <c r="P64" s="25">
        <v>1.3</v>
      </c>
      <c r="Q64" s="25">
        <v>1.3</v>
      </c>
      <c r="R64" s="25">
        <v>1.3</v>
      </c>
      <c r="S64" s="25">
        <v>1.3</v>
      </c>
      <c r="T64" s="25">
        <v>1.3</v>
      </c>
      <c r="U64" s="25">
        <v>1.3</v>
      </c>
      <c r="V64" s="25"/>
      <c r="W64" s="25">
        <v>1.3</v>
      </c>
      <c r="X64" s="25">
        <v>1.3</v>
      </c>
      <c r="Y64" s="25"/>
      <c r="Z64" s="25"/>
      <c r="AA64" s="25"/>
      <c r="AB64" s="25"/>
      <c r="AC64" s="25"/>
      <c r="AD64" s="25"/>
      <c r="AE64" s="22"/>
      <c r="AF64" s="22"/>
      <c r="AG64" s="22"/>
      <c r="AH64" s="22"/>
      <c r="AI64" s="22"/>
      <c r="AJ64" s="22"/>
      <c r="AK64" s="22">
        <v>1</v>
      </c>
      <c r="AL64" s="22"/>
      <c r="AM64" s="22"/>
      <c r="AN64" s="22">
        <v>1.3</v>
      </c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3">
        <f>SUMPRODUCT(Table462[[#This Row],[1]:[100]],$F$2:$DA$2)</f>
        <v>33.112931468554919</v>
      </c>
      <c r="DC64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6.2</v>
      </c>
      <c r="DD64" s="26"/>
    </row>
    <row r="65" spans="1:108" x14ac:dyDescent="0.25">
      <c r="A65" s="27">
        <v>61</v>
      </c>
      <c r="B65" s="25" t="s">
        <v>291</v>
      </c>
      <c r="C65" s="25" t="s">
        <v>292</v>
      </c>
      <c r="D65" s="25" t="s">
        <v>346</v>
      </c>
      <c r="E65" s="25"/>
      <c r="F65" s="25">
        <v>1.3</v>
      </c>
      <c r="G65" s="25">
        <v>1</v>
      </c>
      <c r="H65" s="25">
        <v>1.3</v>
      </c>
      <c r="I65" s="25">
        <v>1.3</v>
      </c>
      <c r="J65" s="25">
        <v>1.3</v>
      </c>
      <c r="K65" s="25">
        <v>1</v>
      </c>
      <c r="L65" s="25"/>
      <c r="M65" s="25"/>
      <c r="N65" s="25"/>
      <c r="O65" s="25">
        <v>1</v>
      </c>
      <c r="P65" s="25"/>
      <c r="Q65" s="25"/>
      <c r="R65" s="25">
        <v>1</v>
      </c>
      <c r="S65" s="25">
        <v>1</v>
      </c>
      <c r="T65" s="25">
        <v>1.3</v>
      </c>
      <c r="U65" s="25">
        <v>1.3</v>
      </c>
      <c r="V65" s="25"/>
      <c r="W65" s="25">
        <v>1.3</v>
      </c>
      <c r="X65" s="25">
        <v>1</v>
      </c>
      <c r="Y65" s="25"/>
      <c r="Z65" s="25"/>
      <c r="AA65" s="25"/>
      <c r="AB65" s="25"/>
      <c r="AC65" s="25"/>
      <c r="AD65" s="25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>
        <v>1.3</v>
      </c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3">
        <f>SUMPRODUCT(Table462[[#This Row],[1]:[100]],$F$2:$DA$2)</f>
        <v>29.00681971737021</v>
      </c>
      <c r="DC65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3.6</v>
      </c>
      <c r="DD65" s="26"/>
    </row>
    <row r="66" spans="1:108" x14ac:dyDescent="0.25">
      <c r="A66" s="27">
        <v>62</v>
      </c>
      <c r="B66" s="25" t="s">
        <v>157</v>
      </c>
      <c r="C66" s="25" t="s">
        <v>158</v>
      </c>
      <c r="D66" s="25" t="s">
        <v>159</v>
      </c>
      <c r="E66" s="25"/>
      <c r="F66" s="25">
        <v>1.3</v>
      </c>
      <c r="G66" s="25">
        <v>1.3</v>
      </c>
      <c r="H66" s="25">
        <v>1</v>
      </c>
      <c r="I66" s="25">
        <v>1.3</v>
      </c>
      <c r="J66" s="25">
        <v>1.3</v>
      </c>
      <c r="K66" s="25">
        <v>1</v>
      </c>
      <c r="L66" s="25">
        <v>1</v>
      </c>
      <c r="M66" s="25"/>
      <c r="N66" s="25"/>
      <c r="O66" s="25">
        <v>1</v>
      </c>
      <c r="P66" s="25"/>
      <c r="Q66" s="25">
        <v>1</v>
      </c>
      <c r="R66" s="25"/>
      <c r="S66" s="25">
        <v>1</v>
      </c>
      <c r="T66" s="25">
        <v>1</v>
      </c>
      <c r="U66" s="25">
        <v>1</v>
      </c>
      <c r="V66" s="25">
        <v>1</v>
      </c>
      <c r="W66" s="25">
        <v>1</v>
      </c>
      <c r="X66" s="25">
        <v>1</v>
      </c>
      <c r="Y66" s="25"/>
      <c r="Z66" s="25"/>
      <c r="AA66" s="25"/>
      <c r="AB66" s="25"/>
      <c r="AC66" s="25"/>
      <c r="AD66" s="25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3">
        <f>SUMPRODUCT(Table462[[#This Row],[1]:[100]],$F$2:$DA$2)</f>
        <v>28.813617004056002</v>
      </c>
      <c r="DC66" s="16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4.3</v>
      </c>
      <c r="DD66" s="26"/>
    </row>
    <row r="67" spans="1:108" x14ac:dyDescent="0.25">
      <c r="A67" s="27">
        <v>63</v>
      </c>
      <c r="B67" s="25" t="s">
        <v>272</v>
      </c>
      <c r="C67" s="25" t="s">
        <v>283</v>
      </c>
      <c r="D67" s="25" t="s">
        <v>346</v>
      </c>
      <c r="E67" s="25" t="s">
        <v>280</v>
      </c>
      <c r="F67" s="25">
        <v>1.3</v>
      </c>
      <c r="G67" s="25">
        <v>1.3</v>
      </c>
      <c r="H67" s="25">
        <v>1.3</v>
      </c>
      <c r="I67" s="25">
        <v>1.3</v>
      </c>
      <c r="J67" s="25">
        <v>1.3</v>
      </c>
      <c r="K67" s="25"/>
      <c r="L67" s="25">
        <v>1.3</v>
      </c>
      <c r="M67" s="25"/>
      <c r="N67" s="25"/>
      <c r="O67" s="25"/>
      <c r="P67" s="25"/>
      <c r="Q67" s="25">
        <v>1.3</v>
      </c>
      <c r="R67" s="25">
        <v>1.3</v>
      </c>
      <c r="S67" s="25"/>
      <c r="T67" s="25">
        <v>1.3</v>
      </c>
      <c r="U67" s="25">
        <v>1.3</v>
      </c>
      <c r="V67" s="25">
        <v>1.3</v>
      </c>
      <c r="W67" s="25">
        <v>1.3</v>
      </c>
      <c r="X67" s="25"/>
      <c r="Y67" s="25"/>
      <c r="Z67" s="25"/>
      <c r="AA67" s="25"/>
      <c r="AB67" s="25"/>
      <c r="AC67" s="25"/>
      <c r="AD67" s="25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3">
        <f>SUMPRODUCT(Table462[[#This Row],[1]:[100]],$F$2:$DA$2)</f>
        <v>27.730002656870731</v>
      </c>
      <c r="DC67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3.9000000000000004</v>
      </c>
      <c r="DD67" s="26"/>
    </row>
    <row r="68" spans="1:108" x14ac:dyDescent="0.25">
      <c r="A68" s="27">
        <v>64</v>
      </c>
      <c r="B68" s="25" t="s">
        <v>309</v>
      </c>
      <c r="C68" s="25" t="s">
        <v>310</v>
      </c>
      <c r="D68" s="25" t="s">
        <v>346</v>
      </c>
      <c r="E68" s="25"/>
      <c r="F68" s="25">
        <v>1.3</v>
      </c>
      <c r="G68" s="25">
        <v>1.3</v>
      </c>
      <c r="H68" s="25">
        <v>1.3</v>
      </c>
      <c r="I68" s="25">
        <v>1.3</v>
      </c>
      <c r="J68" s="25">
        <v>1.3</v>
      </c>
      <c r="K68" s="25">
        <v>1</v>
      </c>
      <c r="L68" s="25">
        <v>1</v>
      </c>
      <c r="M68" s="25"/>
      <c r="N68" s="25"/>
      <c r="O68" s="25">
        <v>1</v>
      </c>
      <c r="P68" s="25"/>
      <c r="Q68" s="25"/>
      <c r="R68" s="25"/>
      <c r="S68" s="25"/>
      <c r="T68" s="25">
        <v>1</v>
      </c>
      <c r="U68" s="25">
        <v>1.3</v>
      </c>
      <c r="V68" s="25"/>
      <c r="W68" s="25">
        <v>1.3</v>
      </c>
      <c r="X68" s="25">
        <v>1</v>
      </c>
      <c r="Y68" s="25"/>
      <c r="Z68" s="25"/>
      <c r="AA68" s="25"/>
      <c r="AB68" s="25"/>
      <c r="AC68" s="25"/>
      <c r="AD68" s="25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>
        <v>1.3</v>
      </c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3">
        <f>SUMPRODUCT(Table462[[#This Row],[1]:[100]],$F$2:$DA$2)</f>
        <v>26.847363880185558</v>
      </c>
      <c r="DC68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3.6</v>
      </c>
      <c r="DD68" s="26"/>
    </row>
    <row r="69" spans="1:108" x14ac:dyDescent="0.25">
      <c r="A69" s="27">
        <v>65</v>
      </c>
      <c r="B69" s="22" t="s">
        <v>311</v>
      </c>
      <c r="C69" s="22" t="s">
        <v>312</v>
      </c>
      <c r="D69" s="22" t="s">
        <v>346</v>
      </c>
      <c r="E69" s="22"/>
      <c r="F69" s="22">
        <v>1.3</v>
      </c>
      <c r="G69" s="22">
        <v>1.3</v>
      </c>
      <c r="H69" s="22">
        <v>1.3</v>
      </c>
      <c r="I69" s="22">
        <v>1.3</v>
      </c>
      <c r="J69" s="22">
        <v>1.3</v>
      </c>
      <c r="K69" s="22">
        <v>1</v>
      </c>
      <c r="L69" s="22">
        <v>1</v>
      </c>
      <c r="M69" s="22"/>
      <c r="N69" s="22"/>
      <c r="O69" s="22"/>
      <c r="P69" s="22"/>
      <c r="Q69" s="22"/>
      <c r="R69" s="22"/>
      <c r="S69" s="22"/>
      <c r="T69" s="22">
        <v>1</v>
      </c>
      <c r="U69" s="22">
        <v>1.3</v>
      </c>
      <c r="V69" s="22"/>
      <c r="W69" s="22">
        <v>1</v>
      </c>
      <c r="X69" s="22">
        <v>1</v>
      </c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4">
        <f>SUMPRODUCT(Table462[[#This Row],[1]:[100]],$F$2:$DA$2)</f>
        <v>22.075736535962935</v>
      </c>
      <c r="DC69" s="17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3.3</v>
      </c>
      <c r="DD69" s="26"/>
    </row>
    <row r="70" spans="1:108" x14ac:dyDescent="0.25">
      <c r="A70" s="27">
        <v>66</v>
      </c>
      <c r="B70" s="25" t="s">
        <v>293</v>
      </c>
      <c r="C70" s="25" t="s">
        <v>294</v>
      </c>
      <c r="D70" s="25" t="s">
        <v>346</v>
      </c>
      <c r="E70" s="25"/>
      <c r="F70" s="25">
        <v>1.3</v>
      </c>
      <c r="G70" s="25">
        <v>1.3</v>
      </c>
      <c r="H70" s="25">
        <v>1.3</v>
      </c>
      <c r="I70" s="25">
        <v>1.3</v>
      </c>
      <c r="J70" s="25">
        <v>1</v>
      </c>
      <c r="K70" s="25"/>
      <c r="L70" s="25">
        <v>1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>
        <v>1</v>
      </c>
      <c r="Y70" s="25"/>
      <c r="Z70" s="25"/>
      <c r="AA70" s="25"/>
      <c r="AB70" s="25"/>
      <c r="AC70" s="25"/>
      <c r="AD70" s="25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3">
        <f>SUMPRODUCT(Table462[[#This Row],[1]:[100]],$F$2:$DA$2)</f>
        <v>14.121115178360862</v>
      </c>
      <c r="DC70" s="9">
        <f>SUM(Table462[[#This Row],[4]],Table462[[#This Row],[9]],Table462[[#This Row],[17]:[19]],Table462[[#This Row],[32]],Table462[[#This Row],[35]],Table462[[#This Row],[38]:[40]],Table462[[#This Row],[44]],Table462[[#This Row],[51]],Table462[[#This Row],[53]],Table462[[#This Row],[56]:[57]],Table462[[#This Row],[60]],Table462[[#This Row],[62]],Table462[[#This Row],[64]],Table462[[#This Row],[66]],Table462[[#This Row],[69]],Table462[[#This Row],[71]:[72]],Table462[[#This Row],[74]:[76]],Table462[[#This Row],[82]],Table462[[#This Row],[87]],Table462[[#This Row],[90]],Table462[[#This Row],[93]],Table462[[#This Row],[96]],Table462[[#This Row],[100]])</f>
        <v>2.2999999999999998</v>
      </c>
      <c r="DD70" s="26"/>
    </row>
  </sheetData>
  <mergeCells count="1">
    <mergeCell ref="A2:E2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D12"/>
  <sheetViews>
    <sheetView zoomScale="80" zoomScaleNormal="80" workbookViewId="0">
      <selection activeCell="C16" sqref="C16"/>
    </sheetView>
  </sheetViews>
  <sheetFormatPr defaultRowHeight="15" outlineLevelRow="1" outlineLevelCol="1" x14ac:dyDescent="0.25"/>
  <cols>
    <col min="1" max="1" width="8.7109375" bestFit="1" customWidth="1"/>
    <col min="2" max="2" width="11.5703125" bestFit="1" customWidth="1"/>
    <col min="3" max="3" width="15" bestFit="1" customWidth="1"/>
    <col min="4" max="4" width="9.42578125" bestFit="1" customWidth="1"/>
    <col min="5" max="5" width="15.5703125" bestFit="1" customWidth="1"/>
    <col min="6" max="14" width="4.140625" hidden="1" customWidth="1" outlineLevel="1"/>
    <col min="15" max="105" width="5.140625" hidden="1" customWidth="1" outlineLevel="1"/>
    <col min="106" max="106" width="8.5703125" customWidth="1" collapsed="1"/>
    <col min="107" max="107" width="13.7109375" hidden="1" customWidth="1" outlineLevel="1"/>
    <col min="108" max="108" width="9.140625" collapsed="1"/>
  </cols>
  <sheetData>
    <row r="1" spans="1:107" outlineLevel="1" x14ac:dyDescent="0.25">
      <c r="A1" t="s">
        <v>7</v>
      </c>
      <c r="B1">
        <v>100</v>
      </c>
    </row>
    <row r="2" spans="1:107" outlineLevel="1" x14ac:dyDescent="0.25">
      <c r="A2" s="34" t="s">
        <v>34</v>
      </c>
      <c r="B2" s="34"/>
      <c r="C2" s="34"/>
      <c r="D2" s="34"/>
      <c r="E2" s="34"/>
      <c r="F2">
        <f>IFERROR($B$1/COUNT(Table4624[1]),0)</f>
        <v>12.5</v>
      </c>
      <c r="G2">
        <f>IFERROR($B$1/COUNT(Table4624[2]),0)</f>
        <v>12.5</v>
      </c>
      <c r="H2">
        <f>IFERROR($B$1/COUNT(Table4624[3]),0)</f>
        <v>12.5</v>
      </c>
      <c r="I2">
        <f>IFERROR($B$1/COUNT(Table4624[4]),0)</f>
        <v>12.5</v>
      </c>
      <c r="J2">
        <f>IFERROR($B$1/COUNT(Table4624[5]),0)</f>
        <v>12.5</v>
      </c>
      <c r="K2">
        <f>IFERROR($B$1/COUNT(Table4624[6]),0)</f>
        <v>12.5</v>
      </c>
      <c r="L2">
        <f>IFERROR($B$1/COUNT(Table4624[7]),0)</f>
        <v>12.5</v>
      </c>
      <c r="M2">
        <f>IFERROR($B$1/COUNT(Table4624[8]),0)</f>
        <v>14.285714285714286</v>
      </c>
      <c r="N2">
        <f>IFERROR($B$1/COUNT(Table4624[9]),0)</f>
        <v>12.5</v>
      </c>
      <c r="O2">
        <f>IFERROR($B$1/COUNT(Table4624[10]),0)</f>
        <v>12.5</v>
      </c>
      <c r="P2">
        <f>IFERROR($B$1/COUNT(Table4624[11]),0)</f>
        <v>12.5</v>
      </c>
      <c r="Q2">
        <f>IFERROR($B$1/COUNT(Table4624[12]),0)</f>
        <v>12.5</v>
      </c>
      <c r="R2">
        <f>IFERROR($B$1/COUNT(Table4624[13]),0)</f>
        <v>12.5</v>
      </c>
      <c r="S2">
        <f>IFERROR($B$1/COUNT(Table4624[14]),0)</f>
        <v>12.5</v>
      </c>
      <c r="T2">
        <f>IFERROR($B$1/COUNT(Table4624[15]),0)</f>
        <v>12.5</v>
      </c>
      <c r="U2">
        <f>IFERROR($B$1/COUNT(Table4624[16]),0)</f>
        <v>12.5</v>
      </c>
      <c r="V2">
        <f>IFERROR($B$1/COUNT(Table4624[17]),0)</f>
        <v>14.285714285714286</v>
      </c>
      <c r="W2">
        <f>IFERROR($B$1/COUNT(Table4624[18]),0)</f>
        <v>14.285714285714286</v>
      </c>
      <c r="X2">
        <f>IFERROR($B$1/COUNT(Table4624[19]),0)</f>
        <v>14.285714285714286</v>
      </c>
      <c r="Y2">
        <f>IFERROR($B$1/COUNT(Table4624[20]),0)</f>
        <v>14.285714285714286</v>
      </c>
      <c r="Z2">
        <f>IFERROR($B$1/COUNT(Table4624[21]),0)</f>
        <v>12.5</v>
      </c>
      <c r="AA2">
        <f>IFERROR($B$1/COUNT(Table4624[22]),0)</f>
        <v>25</v>
      </c>
      <c r="AB2">
        <f>IFERROR($B$1/COUNT(Table4624[23]),0)</f>
        <v>33.333333333333336</v>
      </c>
      <c r="AC2">
        <f>IFERROR($B$1/COUNT(Table4624[24]),0)</f>
        <v>25</v>
      </c>
      <c r="AD2">
        <f>IFERROR($B$1/COUNT(Table4624[25]),0)</f>
        <v>33.333333333333336</v>
      </c>
      <c r="AE2">
        <f>IFERROR($B$1/COUNT(Table4624[26]),0)</f>
        <v>33.333333333333336</v>
      </c>
      <c r="AF2">
        <f>IFERROR($B$1/COUNT(Table4624[27]),0)</f>
        <v>20</v>
      </c>
      <c r="AG2">
        <f>IFERROR($B$1/COUNT(Table4624[28]),0)</f>
        <v>16.666666666666668</v>
      </c>
      <c r="AH2">
        <f>IFERROR($B$1/COUNT(Table4624[29]),0)</f>
        <v>14.285714285714286</v>
      </c>
      <c r="AI2">
        <f>IFERROR($B$1/COUNT(Table4624[30]),0)</f>
        <v>12.5</v>
      </c>
      <c r="AJ2">
        <f>IFERROR($B$1/COUNT(Table4624[31]),0)</f>
        <v>20</v>
      </c>
      <c r="AK2">
        <f>IFERROR($B$1/COUNT(Table4624[32]),0)</f>
        <v>12.5</v>
      </c>
      <c r="AL2">
        <f>IFERROR($B$1/COUNT(Table4624[33]),0)</f>
        <v>100</v>
      </c>
      <c r="AM2">
        <f>IFERROR($B$1/COUNT(Table4624[34]),0)</f>
        <v>14.285714285714286</v>
      </c>
      <c r="AN2">
        <f>IFERROR($B$1/COUNT(Table4624[35]),0)</f>
        <v>12.5</v>
      </c>
      <c r="AO2">
        <f>IFERROR($B$1/COUNT(Table4624[36]),0)</f>
        <v>20</v>
      </c>
      <c r="AP2">
        <f>IFERROR($B$1/COUNT(Table4624[37]),0)</f>
        <v>14.285714285714286</v>
      </c>
      <c r="AQ2">
        <f>IFERROR($B$1/COUNT(Table4624[38]),0)</f>
        <v>20</v>
      </c>
      <c r="AR2">
        <f>IFERROR($B$1/COUNT(Table4624[39]),0)</f>
        <v>12.5</v>
      </c>
      <c r="AS2">
        <f>IFERROR($B$1/COUNT(Table4624[40]),0)</f>
        <v>12.5</v>
      </c>
      <c r="AT2">
        <f>IFERROR($B$1/COUNT(Table4624[41]),0)</f>
        <v>20</v>
      </c>
      <c r="AU2">
        <f>IFERROR($B$1/COUNT(Table4624[42]),0)</f>
        <v>14.285714285714286</v>
      </c>
      <c r="AV2">
        <f>IFERROR($B$1/COUNT(Table4624[43]),0)</f>
        <v>14.285714285714286</v>
      </c>
      <c r="AW2">
        <f>IFERROR($B$1/COUNT(Table4624[44]),0)</f>
        <v>16.666666666666668</v>
      </c>
      <c r="AX2">
        <f>IFERROR($B$1/COUNT(Table4624[45]),0)</f>
        <v>33.333333333333336</v>
      </c>
      <c r="AY2">
        <f>IFERROR($B$1/COUNT(Table4624[46]),0)</f>
        <v>12.5</v>
      </c>
      <c r="AZ2">
        <f>IFERROR($B$1/COUNT(Table4624[47]),0)</f>
        <v>14.285714285714286</v>
      </c>
      <c r="BA2">
        <f>IFERROR($B$1/COUNT(Table4624[48]),0)</f>
        <v>14.285714285714286</v>
      </c>
      <c r="BB2">
        <f>IFERROR($B$1/COUNT(Table4624[49]),0)</f>
        <v>12.5</v>
      </c>
      <c r="BC2">
        <f>IFERROR($B$1/COUNT(Table4624[50]),0)</f>
        <v>100</v>
      </c>
      <c r="BD2">
        <f>IFERROR($B$1/COUNT(Table4624[51]),0)</f>
        <v>14.285714285714286</v>
      </c>
      <c r="BE2">
        <f>IFERROR($B$1/COUNT(Table4624[52]),0)</f>
        <v>12.5</v>
      </c>
      <c r="BF2">
        <f>IFERROR($B$1/COUNT(Table4624[53]),0)</f>
        <v>0</v>
      </c>
      <c r="BG2">
        <f>IFERROR($B$1/COUNT(Table4624[54]),0)</f>
        <v>20</v>
      </c>
      <c r="BH2">
        <f>IFERROR($B$1/COUNT(Table4624[55]),0)</f>
        <v>33.333333333333336</v>
      </c>
      <c r="BI2">
        <f>IFERROR($B$1/COUNT(Table4624[56]),0)</f>
        <v>50</v>
      </c>
      <c r="BJ2">
        <f>IFERROR($B$1/COUNT(Table4624[57]),0)</f>
        <v>0</v>
      </c>
      <c r="BK2">
        <f>IFERROR($B$1/COUNT(Table4624[58]),0)</f>
        <v>50</v>
      </c>
      <c r="BL2">
        <f>IFERROR($B$1/COUNT(Table4624[59]),0)</f>
        <v>33.333333333333336</v>
      </c>
      <c r="BM2">
        <f>IFERROR($B$1/COUNT(Table4624[60]),0)</f>
        <v>100</v>
      </c>
      <c r="BN2">
        <f>IFERROR($B$1/COUNT(Table4624[61]),0)</f>
        <v>0</v>
      </c>
      <c r="BO2">
        <f>IFERROR($B$1/COUNT(Table4624[62]),0)</f>
        <v>100</v>
      </c>
      <c r="BP2">
        <f>IFERROR($B$1/COUNT(Table4624[63]),0)</f>
        <v>100</v>
      </c>
      <c r="BQ2">
        <f>IFERROR($B$1/COUNT(Table4624[64]),0)</f>
        <v>14.285714285714286</v>
      </c>
      <c r="BR2">
        <f>IFERROR($B$1/COUNT(Table4624[65]),0)</f>
        <v>0</v>
      </c>
      <c r="BS2">
        <f>IFERROR($B$1/COUNT(Table4624[66]),0)</f>
        <v>0</v>
      </c>
      <c r="BT2">
        <f>IFERROR($B$1/COUNT(Table4624[67]),0)</f>
        <v>25</v>
      </c>
      <c r="BU2">
        <f>IFERROR($B$1/COUNT(Table4624[68]),0)</f>
        <v>50</v>
      </c>
      <c r="BV2">
        <f>IFERROR($B$1/COUNT(Table4624[69]),0)</f>
        <v>50</v>
      </c>
      <c r="BW2">
        <f>IFERROR($B$1/COUNT(Table4624[70]),0)</f>
        <v>25</v>
      </c>
      <c r="BX2">
        <f>IFERROR($B$1/COUNT(Table4624[71]),0)</f>
        <v>50</v>
      </c>
      <c r="BY2">
        <f>IFERROR($B$1/COUNT(Table4624[72]),0)</f>
        <v>16.666666666666668</v>
      </c>
      <c r="BZ2">
        <f>IFERROR($B$1/COUNT(Table4624[73]),0)</f>
        <v>20</v>
      </c>
      <c r="CA2">
        <f>IFERROR($B$1/COUNT(Table4624[74]),0)</f>
        <v>50</v>
      </c>
      <c r="CB2">
        <f>IFERROR($B$1/COUNT(Table4624[75]),0)</f>
        <v>20</v>
      </c>
      <c r="CC2">
        <f>IFERROR($B$1/COUNT(Table4624[76]),0)</f>
        <v>12.5</v>
      </c>
      <c r="CD2">
        <f>IFERROR($B$1/COUNT(Table4624[77]),0)</f>
        <v>33.333333333333336</v>
      </c>
      <c r="CE2">
        <f>IFERROR($B$1/COUNT(Table4624[78]),0)</f>
        <v>50</v>
      </c>
      <c r="CF2">
        <f>IFERROR($B$1/COUNT(Table4624[79]),0)</f>
        <v>33.333333333333336</v>
      </c>
      <c r="CG2">
        <f>IFERROR($B$1/COUNT(Table4624[80]),0)</f>
        <v>25</v>
      </c>
      <c r="CH2">
        <f>IFERROR($B$1/COUNT(Table4624[81]),0)</f>
        <v>50</v>
      </c>
      <c r="CI2">
        <f>IFERROR($B$1/COUNT(Table4624[82]),0)</f>
        <v>100</v>
      </c>
      <c r="CJ2">
        <f>IFERROR($B$1/COUNT(Table4624[83]),0)</f>
        <v>0</v>
      </c>
      <c r="CK2">
        <f>IFERROR($B$1/COUNT(Table4624[84]),0)</f>
        <v>14.285714285714286</v>
      </c>
      <c r="CL2">
        <f>IFERROR($B$1/COUNT(Table4624[85]),0)</f>
        <v>0</v>
      </c>
      <c r="CM2">
        <f>IFERROR($B$1/COUNT(Table4624[86]),0)</f>
        <v>100</v>
      </c>
      <c r="CN2">
        <f>IFERROR($B$1/COUNT(Table4624[87]),0)</f>
        <v>0</v>
      </c>
      <c r="CO2">
        <f>IFERROR($B$1/COUNT(Table4624[88]),0)</f>
        <v>0</v>
      </c>
      <c r="CP2">
        <f>IFERROR($B$1/COUNT(Table4624[89]),0)</f>
        <v>0</v>
      </c>
      <c r="CQ2">
        <f>IFERROR($B$1/COUNT(Table4624[90]),0)</f>
        <v>100</v>
      </c>
      <c r="CR2">
        <f>IFERROR($B$1/COUNT(Table4624[91]),0)</f>
        <v>0</v>
      </c>
      <c r="CS2">
        <f>IFERROR($B$1/COUNT(Table4624[92]),0)</f>
        <v>0</v>
      </c>
      <c r="CT2">
        <f>IFERROR($B$1/COUNT(Table4624[93]),0)</f>
        <v>0</v>
      </c>
      <c r="CU2">
        <f>IFERROR($B$1/COUNT(Table4624[94]),0)</f>
        <v>0</v>
      </c>
      <c r="CV2">
        <f>IFERROR($B$1/COUNT(Table4624[95]),0)</f>
        <v>0</v>
      </c>
      <c r="CW2">
        <f>IFERROR($B$1/COUNT(Table4624[96]),0)</f>
        <v>0</v>
      </c>
      <c r="CX2">
        <f>IFERROR($B$1/COUNT(Table4624[97]),0)</f>
        <v>0</v>
      </c>
      <c r="CY2">
        <f>IFERROR($B$1/COUNT(Table4624[98]),0)</f>
        <v>0</v>
      </c>
      <c r="CZ2">
        <f>IFERROR($B$1/COUNT(Table4624[99]),0)</f>
        <v>0</v>
      </c>
      <c r="DA2">
        <f>IFERROR($B$1/COUNT(Table4624[100]),0)</f>
        <v>0</v>
      </c>
    </row>
    <row r="3" spans="1:107" outlineLevel="1" x14ac:dyDescent="0.25">
      <c r="A3" t="s">
        <v>4</v>
      </c>
      <c r="B3">
        <v>1.3</v>
      </c>
      <c r="C3" t="s">
        <v>5</v>
      </c>
      <c r="D3">
        <v>1</v>
      </c>
    </row>
    <row r="4" spans="1:107" x14ac:dyDescent="0.25">
      <c r="A4" s="1" t="s">
        <v>6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8</v>
      </c>
      <c r="G4" s="2" t="s">
        <v>9</v>
      </c>
      <c r="H4" s="2" t="s">
        <v>10</v>
      </c>
      <c r="I4" s="11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11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11" t="s">
        <v>24</v>
      </c>
      <c r="W4" s="11" t="s">
        <v>25</v>
      </c>
      <c r="X4" s="11" t="s">
        <v>26</v>
      </c>
      <c r="Y4" s="2" t="s">
        <v>27</v>
      </c>
      <c r="Z4" s="2" t="s">
        <v>28</v>
      </c>
      <c r="AA4" s="2" t="s">
        <v>29</v>
      </c>
      <c r="AB4" s="2" t="s">
        <v>30</v>
      </c>
      <c r="AC4" s="2" t="s">
        <v>31</v>
      </c>
      <c r="AD4" s="2" t="s">
        <v>32</v>
      </c>
      <c r="AE4" s="10" t="s">
        <v>35</v>
      </c>
      <c r="AF4" s="10" t="s">
        <v>36</v>
      </c>
      <c r="AG4" s="10" t="s">
        <v>37</v>
      </c>
      <c r="AH4" s="10" t="s">
        <v>38</v>
      </c>
      <c r="AI4" s="10" t="s">
        <v>39</v>
      </c>
      <c r="AJ4" s="10" t="s">
        <v>40</v>
      </c>
      <c r="AK4" s="14" t="s">
        <v>41</v>
      </c>
      <c r="AL4" s="10" t="s">
        <v>42</v>
      </c>
      <c r="AM4" s="10" t="s">
        <v>43</v>
      </c>
      <c r="AN4" s="14" t="s">
        <v>44</v>
      </c>
      <c r="AO4" s="10" t="s">
        <v>45</v>
      </c>
      <c r="AP4" s="10" t="s">
        <v>46</v>
      </c>
      <c r="AQ4" s="14" t="s">
        <v>47</v>
      </c>
      <c r="AR4" s="14" t="s">
        <v>48</v>
      </c>
      <c r="AS4" s="14" t="s">
        <v>49</v>
      </c>
      <c r="AT4" s="10" t="s">
        <v>50</v>
      </c>
      <c r="AU4" s="10" t="s">
        <v>51</v>
      </c>
      <c r="AV4" s="10" t="s">
        <v>52</v>
      </c>
      <c r="AW4" s="14" t="s">
        <v>53</v>
      </c>
      <c r="AX4" s="10" t="s">
        <v>54</v>
      </c>
      <c r="AY4" s="10" t="s">
        <v>55</v>
      </c>
      <c r="AZ4" s="10" t="s">
        <v>56</v>
      </c>
      <c r="BA4" s="10" t="s">
        <v>57</v>
      </c>
      <c r="BB4" s="10" t="s">
        <v>58</v>
      </c>
      <c r="BC4" s="10" t="s">
        <v>59</v>
      </c>
      <c r="BD4" s="14" t="s">
        <v>60</v>
      </c>
      <c r="BE4" s="10" t="s">
        <v>61</v>
      </c>
      <c r="BF4" s="14" t="s">
        <v>62</v>
      </c>
      <c r="BG4" s="10" t="s">
        <v>63</v>
      </c>
      <c r="BH4" s="10" t="s">
        <v>64</v>
      </c>
      <c r="BI4" s="14" t="s">
        <v>65</v>
      </c>
      <c r="BJ4" s="14" t="s">
        <v>66</v>
      </c>
      <c r="BK4" s="10" t="s">
        <v>67</v>
      </c>
      <c r="BL4" s="10" t="s">
        <v>68</v>
      </c>
      <c r="BM4" s="14" t="s">
        <v>69</v>
      </c>
      <c r="BN4" s="10" t="s">
        <v>70</v>
      </c>
      <c r="BO4" s="14" t="s">
        <v>71</v>
      </c>
      <c r="BP4" s="10" t="s">
        <v>72</v>
      </c>
      <c r="BQ4" s="14" t="s">
        <v>73</v>
      </c>
      <c r="BR4" s="10" t="s">
        <v>74</v>
      </c>
      <c r="BS4" s="14" t="s">
        <v>75</v>
      </c>
      <c r="BT4" s="10" t="s">
        <v>76</v>
      </c>
      <c r="BU4" s="10" t="s">
        <v>77</v>
      </c>
      <c r="BV4" s="14" t="s">
        <v>78</v>
      </c>
      <c r="BW4" s="10" t="s">
        <v>79</v>
      </c>
      <c r="BX4" s="14" t="s">
        <v>80</v>
      </c>
      <c r="BY4" s="14" t="s">
        <v>81</v>
      </c>
      <c r="BZ4" s="10" t="s">
        <v>82</v>
      </c>
      <c r="CA4" s="14" t="s">
        <v>83</v>
      </c>
      <c r="CB4" s="14" t="s">
        <v>84</v>
      </c>
      <c r="CC4" s="14" t="s">
        <v>85</v>
      </c>
      <c r="CD4" s="10" t="s">
        <v>86</v>
      </c>
      <c r="CE4" s="10" t="s">
        <v>87</v>
      </c>
      <c r="CF4" s="10" t="s">
        <v>88</v>
      </c>
      <c r="CG4" s="10" t="s">
        <v>89</v>
      </c>
      <c r="CH4" s="10" t="s">
        <v>90</v>
      </c>
      <c r="CI4" s="14" t="s">
        <v>91</v>
      </c>
      <c r="CJ4" s="10" t="s">
        <v>92</v>
      </c>
      <c r="CK4" s="10" t="s">
        <v>93</v>
      </c>
      <c r="CL4" s="10" t="s">
        <v>94</v>
      </c>
      <c r="CM4" s="10" t="s">
        <v>95</v>
      </c>
      <c r="CN4" s="14" t="s">
        <v>96</v>
      </c>
      <c r="CO4" s="10" t="s">
        <v>97</v>
      </c>
      <c r="CP4" s="10" t="s">
        <v>98</v>
      </c>
      <c r="CQ4" s="14" t="s">
        <v>99</v>
      </c>
      <c r="CR4" s="10" t="s">
        <v>100</v>
      </c>
      <c r="CS4" s="10" t="s">
        <v>101</v>
      </c>
      <c r="CT4" s="14" t="s">
        <v>102</v>
      </c>
      <c r="CU4" s="10" t="s">
        <v>103</v>
      </c>
      <c r="CV4" s="10" t="s">
        <v>104</v>
      </c>
      <c r="CW4" s="14" t="s">
        <v>105</v>
      </c>
      <c r="CX4" s="10" t="s">
        <v>106</v>
      </c>
      <c r="CY4" s="10" t="s">
        <v>107</v>
      </c>
      <c r="CZ4" s="10" t="s">
        <v>108</v>
      </c>
      <c r="DA4" s="14" t="s">
        <v>109</v>
      </c>
      <c r="DB4" s="7" t="s">
        <v>33</v>
      </c>
      <c r="DC4" s="7" t="s">
        <v>110</v>
      </c>
    </row>
    <row r="5" spans="1:107" x14ac:dyDescent="0.25">
      <c r="A5" s="20">
        <v>1</v>
      </c>
      <c r="B5" s="13" t="s">
        <v>111</v>
      </c>
      <c r="C5" s="13" t="s">
        <v>112</v>
      </c>
      <c r="D5" s="13" t="s">
        <v>347</v>
      </c>
      <c r="E5" s="13" t="s">
        <v>350</v>
      </c>
      <c r="F5" s="12">
        <v>1.3</v>
      </c>
      <c r="G5" s="12">
        <v>1.3</v>
      </c>
      <c r="H5" s="12">
        <v>1.3</v>
      </c>
      <c r="I5" s="12">
        <v>1.3</v>
      </c>
      <c r="J5" s="12">
        <v>1.3</v>
      </c>
      <c r="K5" s="12">
        <v>1.3</v>
      </c>
      <c r="L5" s="12">
        <v>1.3</v>
      </c>
      <c r="M5" s="12">
        <v>1.3</v>
      </c>
      <c r="N5" s="12">
        <v>1.3</v>
      </c>
      <c r="O5" s="12">
        <v>1.3</v>
      </c>
      <c r="P5" s="12">
        <v>1.3</v>
      </c>
      <c r="Q5" s="12">
        <v>1.3</v>
      </c>
      <c r="R5" s="12">
        <v>1.3</v>
      </c>
      <c r="S5" s="12">
        <v>1.3</v>
      </c>
      <c r="T5" s="12">
        <v>1.3</v>
      </c>
      <c r="U5" s="12">
        <v>1.3</v>
      </c>
      <c r="V5" s="12">
        <v>1.3</v>
      </c>
      <c r="W5" s="12">
        <v>1.3</v>
      </c>
      <c r="X5" s="12">
        <v>1.3</v>
      </c>
      <c r="Y5" s="12">
        <v>1</v>
      </c>
      <c r="Z5" s="12">
        <v>1.3</v>
      </c>
      <c r="AA5" s="12"/>
      <c r="AB5" s="12">
        <v>1</v>
      </c>
      <c r="AC5" s="12">
        <v>1.3</v>
      </c>
      <c r="AD5" s="12"/>
      <c r="AE5" s="15"/>
      <c r="AF5" s="15">
        <v>1.3</v>
      </c>
      <c r="AG5" s="15">
        <v>1</v>
      </c>
      <c r="AH5" s="15">
        <v>1</v>
      </c>
      <c r="AI5" s="15">
        <v>1.3</v>
      </c>
      <c r="AJ5" s="15">
        <v>1</v>
      </c>
      <c r="AK5" s="15">
        <v>1.3</v>
      </c>
      <c r="AL5" s="15">
        <v>1</v>
      </c>
      <c r="AM5" s="15">
        <v>1.3</v>
      </c>
      <c r="AN5" s="15">
        <v>1.3</v>
      </c>
      <c r="AO5" s="15">
        <v>1.3</v>
      </c>
      <c r="AP5" s="15">
        <v>1.3</v>
      </c>
      <c r="AQ5" s="15">
        <v>1.3</v>
      </c>
      <c r="AR5" s="15">
        <v>1.3</v>
      </c>
      <c r="AS5" s="15">
        <v>1.3</v>
      </c>
      <c r="AT5" s="15">
        <v>1.3</v>
      </c>
      <c r="AU5" s="15">
        <v>1.3</v>
      </c>
      <c r="AV5" s="15">
        <v>1.3</v>
      </c>
      <c r="AW5" s="15">
        <v>1.3</v>
      </c>
      <c r="AX5" s="15">
        <v>1.3</v>
      </c>
      <c r="AY5" s="15">
        <v>1.3</v>
      </c>
      <c r="AZ5" s="15">
        <v>1.3</v>
      </c>
      <c r="BA5" s="15">
        <v>1.3</v>
      </c>
      <c r="BB5" s="15">
        <v>1.3</v>
      </c>
      <c r="BC5" s="15"/>
      <c r="BD5" s="15">
        <v>1.3</v>
      </c>
      <c r="BE5" s="15">
        <v>1.3</v>
      </c>
      <c r="BF5" s="15"/>
      <c r="BG5" s="15">
        <v>1.3</v>
      </c>
      <c r="BH5" s="15">
        <v>1</v>
      </c>
      <c r="BI5" s="15"/>
      <c r="BJ5" s="15"/>
      <c r="BK5" s="15">
        <v>1.3</v>
      </c>
      <c r="BL5" s="15">
        <v>1</v>
      </c>
      <c r="BM5" s="15">
        <v>1</v>
      </c>
      <c r="BN5" s="15"/>
      <c r="BO5" s="15">
        <v>1</v>
      </c>
      <c r="BP5" s="15">
        <v>1.3</v>
      </c>
      <c r="BQ5" s="15">
        <v>1.3</v>
      </c>
      <c r="BR5" s="15"/>
      <c r="BS5" s="15"/>
      <c r="BT5" s="15">
        <v>1.3</v>
      </c>
      <c r="BU5" s="15">
        <v>1</v>
      </c>
      <c r="BV5" s="15">
        <v>1</v>
      </c>
      <c r="BW5" s="15">
        <v>1</v>
      </c>
      <c r="BX5" s="15">
        <v>1</v>
      </c>
      <c r="BY5" s="15">
        <v>1.3</v>
      </c>
      <c r="BZ5" s="15"/>
      <c r="CA5" s="15"/>
      <c r="CB5" s="15">
        <v>1</v>
      </c>
      <c r="CC5" s="15">
        <v>1.3</v>
      </c>
      <c r="CD5" s="15">
        <v>1.3</v>
      </c>
      <c r="CE5" s="15">
        <v>1.3</v>
      </c>
      <c r="CF5" s="15">
        <v>1.3</v>
      </c>
      <c r="CG5" s="15"/>
      <c r="CH5" s="15">
        <v>1</v>
      </c>
      <c r="CI5" s="15"/>
      <c r="CJ5" s="15"/>
      <c r="CK5" s="15">
        <v>1</v>
      </c>
      <c r="CL5" s="15"/>
      <c r="CM5" s="15"/>
      <c r="CN5" s="15"/>
      <c r="CO5" s="15"/>
      <c r="CP5" s="15"/>
      <c r="CQ5" s="15">
        <v>1</v>
      </c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21">
        <f>SUMPRODUCT(Table4624[[#This Row],[1]:[100]],$F$2:$DA$2)</f>
        <v>2081.9642857142853</v>
      </c>
      <c r="DC5" s="16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25.500000000000004</v>
      </c>
    </row>
    <row r="6" spans="1:107" x14ac:dyDescent="0.25">
      <c r="A6" s="18">
        <v>2</v>
      </c>
      <c r="B6" s="12" t="s">
        <v>255</v>
      </c>
      <c r="C6" s="12" t="s">
        <v>254</v>
      </c>
      <c r="D6" s="12" t="s">
        <v>317</v>
      </c>
      <c r="E6" s="12" t="s">
        <v>253</v>
      </c>
      <c r="F6" s="13">
        <v>1.3</v>
      </c>
      <c r="G6" s="13">
        <v>1.3</v>
      </c>
      <c r="H6" s="13">
        <v>1.3</v>
      </c>
      <c r="I6" s="13">
        <v>1.3</v>
      </c>
      <c r="J6" s="13">
        <v>1.3</v>
      </c>
      <c r="K6" s="13">
        <v>1.3</v>
      </c>
      <c r="L6" s="13">
        <v>1.3</v>
      </c>
      <c r="M6" s="13">
        <v>1.3</v>
      </c>
      <c r="N6" s="13">
        <v>1.3</v>
      </c>
      <c r="O6" s="13">
        <v>1.3</v>
      </c>
      <c r="P6" s="13">
        <v>1.3</v>
      </c>
      <c r="Q6" s="13">
        <v>1.3</v>
      </c>
      <c r="R6" s="13">
        <v>1.3</v>
      </c>
      <c r="S6" s="13">
        <v>1.3</v>
      </c>
      <c r="T6" s="13">
        <v>1.3</v>
      </c>
      <c r="U6" s="13">
        <v>1.3</v>
      </c>
      <c r="V6" s="13">
        <v>1.3</v>
      </c>
      <c r="W6" s="13">
        <v>1.3</v>
      </c>
      <c r="X6" s="13">
        <v>1.3</v>
      </c>
      <c r="Y6" s="13">
        <v>1.3</v>
      </c>
      <c r="Z6" s="13">
        <v>1.3</v>
      </c>
      <c r="AA6" s="13"/>
      <c r="AB6" s="13"/>
      <c r="AC6" s="13"/>
      <c r="AD6" s="13">
        <v>1</v>
      </c>
      <c r="AE6" s="13"/>
      <c r="AF6" s="13"/>
      <c r="AG6" s="13">
        <v>1</v>
      </c>
      <c r="AH6" s="13">
        <v>1</v>
      </c>
      <c r="AI6" s="13">
        <v>1.3</v>
      </c>
      <c r="AJ6" s="13">
        <v>1.3</v>
      </c>
      <c r="AK6" s="13">
        <v>1</v>
      </c>
      <c r="AL6" s="13"/>
      <c r="AM6" s="13">
        <v>1.3</v>
      </c>
      <c r="AN6" s="13">
        <v>1.3</v>
      </c>
      <c r="AO6" s="13"/>
      <c r="AP6" s="13"/>
      <c r="AQ6" s="13">
        <v>1.3</v>
      </c>
      <c r="AR6" s="13">
        <v>1.3</v>
      </c>
      <c r="AS6" s="13">
        <v>1.3</v>
      </c>
      <c r="AT6" s="13">
        <v>1</v>
      </c>
      <c r="AU6" s="13">
        <v>1.3</v>
      </c>
      <c r="AV6" s="13">
        <v>1.3</v>
      </c>
      <c r="AW6" s="13">
        <v>1</v>
      </c>
      <c r="AX6" s="13">
        <v>1.3</v>
      </c>
      <c r="AY6" s="13">
        <v>1.3</v>
      </c>
      <c r="AZ6" s="13">
        <v>1.3</v>
      </c>
      <c r="BA6" s="13">
        <v>1.3</v>
      </c>
      <c r="BB6" s="13">
        <v>1.3</v>
      </c>
      <c r="BC6" s="13"/>
      <c r="BD6" s="13">
        <v>1.3</v>
      </c>
      <c r="BE6" s="13">
        <v>1.3</v>
      </c>
      <c r="BF6" s="13"/>
      <c r="BG6" s="13"/>
      <c r="BH6" s="13"/>
      <c r="BI6" s="13">
        <v>1</v>
      </c>
      <c r="BJ6" s="13"/>
      <c r="BK6" s="13"/>
      <c r="BL6" s="13">
        <v>1.3</v>
      </c>
      <c r="BM6" s="13"/>
      <c r="BN6" s="13"/>
      <c r="BO6" s="13"/>
      <c r="BP6" s="13"/>
      <c r="BQ6" s="13">
        <v>1.3</v>
      </c>
      <c r="BR6" s="13"/>
      <c r="BS6" s="13"/>
      <c r="BT6" s="13">
        <v>1</v>
      </c>
      <c r="BU6" s="13">
        <v>1.3</v>
      </c>
      <c r="BV6" s="13">
        <v>1</v>
      </c>
      <c r="BW6" s="13"/>
      <c r="BX6" s="13">
        <v>1</v>
      </c>
      <c r="BY6" s="13">
        <v>1.3</v>
      </c>
      <c r="BZ6" s="13">
        <v>1.3</v>
      </c>
      <c r="CA6" s="13"/>
      <c r="CB6" s="13"/>
      <c r="CC6" s="13">
        <v>1</v>
      </c>
      <c r="CD6" s="13">
        <v>1</v>
      </c>
      <c r="CE6" s="13"/>
      <c r="CF6" s="13">
        <v>1</v>
      </c>
      <c r="CG6" s="13">
        <v>1</v>
      </c>
      <c r="CH6" s="13"/>
      <c r="CI6" s="13"/>
      <c r="CJ6" s="13"/>
      <c r="CK6" s="13"/>
      <c r="CL6" s="13"/>
      <c r="CM6" s="13">
        <v>1</v>
      </c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9">
        <f>SUMPRODUCT(Table4624[[#This Row],[1]:[100]],$F$2:$DA$2)</f>
        <v>1340.5595238095236</v>
      </c>
      <c r="DC6" s="16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21.600000000000005</v>
      </c>
    </row>
    <row r="7" spans="1:107" outlineLevel="1" x14ac:dyDescent="0.25">
      <c r="A7" s="20">
        <v>3</v>
      </c>
      <c r="B7" s="13" t="s">
        <v>263</v>
      </c>
      <c r="C7" s="13" t="s">
        <v>264</v>
      </c>
      <c r="D7" s="13" t="s">
        <v>317</v>
      </c>
      <c r="E7" s="13" t="s">
        <v>253</v>
      </c>
      <c r="F7" s="13">
        <v>1.3</v>
      </c>
      <c r="G7" s="13">
        <v>1.3</v>
      </c>
      <c r="H7" s="13">
        <v>1.3</v>
      </c>
      <c r="I7" s="13">
        <v>1.3</v>
      </c>
      <c r="J7" s="13">
        <v>1.3</v>
      </c>
      <c r="K7" s="13">
        <v>1.3</v>
      </c>
      <c r="L7" s="13">
        <v>1.3</v>
      </c>
      <c r="M7" s="13">
        <v>1</v>
      </c>
      <c r="N7" s="13">
        <v>1.3</v>
      </c>
      <c r="O7" s="13">
        <v>1.3</v>
      </c>
      <c r="P7" s="13">
        <v>1.3</v>
      </c>
      <c r="Q7" s="13">
        <v>1.3</v>
      </c>
      <c r="R7" s="13">
        <v>1.3</v>
      </c>
      <c r="S7" s="13">
        <v>1.3</v>
      </c>
      <c r="T7" s="13">
        <v>1.3</v>
      </c>
      <c r="U7" s="13">
        <v>1.3</v>
      </c>
      <c r="V7" s="13">
        <v>1.3</v>
      </c>
      <c r="W7" s="13">
        <v>1.3</v>
      </c>
      <c r="X7" s="13">
        <v>1.3</v>
      </c>
      <c r="Y7" s="13">
        <v>1</v>
      </c>
      <c r="Z7" s="13">
        <v>1.3</v>
      </c>
      <c r="AA7" s="13">
        <v>1.3</v>
      </c>
      <c r="AB7" s="13">
        <v>1</v>
      </c>
      <c r="AC7" s="13">
        <v>1.3</v>
      </c>
      <c r="AD7" s="13">
        <v>1</v>
      </c>
      <c r="AE7" s="13">
        <v>1</v>
      </c>
      <c r="AF7" s="13">
        <v>1.3</v>
      </c>
      <c r="AG7" s="13">
        <v>1</v>
      </c>
      <c r="AH7" s="13">
        <v>1.3</v>
      </c>
      <c r="AI7" s="13">
        <v>1.3</v>
      </c>
      <c r="AJ7" s="13"/>
      <c r="AK7" s="13">
        <v>1.3</v>
      </c>
      <c r="AL7" s="13"/>
      <c r="AM7" s="13">
        <v>1.3</v>
      </c>
      <c r="AN7" s="13">
        <v>1.3</v>
      </c>
      <c r="AO7" s="13">
        <v>1</v>
      </c>
      <c r="AP7" s="13">
        <v>1.3</v>
      </c>
      <c r="AQ7" s="13">
        <v>1.3</v>
      </c>
      <c r="AR7" s="13">
        <v>1.3</v>
      </c>
      <c r="AS7" s="13">
        <v>1.3</v>
      </c>
      <c r="AT7" s="13"/>
      <c r="AU7" s="13">
        <v>1.3</v>
      </c>
      <c r="AV7" s="13">
        <v>1.3</v>
      </c>
      <c r="AW7" s="13">
        <v>1.3</v>
      </c>
      <c r="AX7" s="13"/>
      <c r="AY7" s="13">
        <v>1.3</v>
      </c>
      <c r="AZ7" s="13">
        <v>1.3</v>
      </c>
      <c r="BA7" s="13">
        <v>1.3</v>
      </c>
      <c r="BB7" s="13">
        <v>1.3</v>
      </c>
      <c r="BC7" s="13"/>
      <c r="BD7" s="13">
        <v>1.3</v>
      </c>
      <c r="BE7" s="13">
        <v>1.3</v>
      </c>
      <c r="BF7" s="13"/>
      <c r="BG7" s="13">
        <v>1.3</v>
      </c>
      <c r="BH7" s="13">
        <v>1</v>
      </c>
      <c r="BI7" s="13">
        <v>1</v>
      </c>
      <c r="BJ7" s="13"/>
      <c r="BK7" s="13"/>
      <c r="BL7" s="13"/>
      <c r="BM7" s="13"/>
      <c r="BN7" s="13"/>
      <c r="BO7" s="13"/>
      <c r="BP7" s="13"/>
      <c r="BQ7" s="13">
        <v>1</v>
      </c>
      <c r="BR7" s="13"/>
      <c r="BS7" s="13"/>
      <c r="BT7" s="13"/>
      <c r="BU7" s="13"/>
      <c r="BV7" s="13"/>
      <c r="BW7" s="13">
        <v>1</v>
      </c>
      <c r="BX7" s="13"/>
      <c r="BY7" s="13">
        <v>1.3</v>
      </c>
      <c r="BZ7" s="13"/>
      <c r="CA7" s="13"/>
      <c r="CB7" s="13">
        <v>1.3</v>
      </c>
      <c r="CC7" s="13">
        <v>1</v>
      </c>
      <c r="CD7" s="13">
        <v>1.3</v>
      </c>
      <c r="CE7" s="13"/>
      <c r="CF7" s="13">
        <v>1.3</v>
      </c>
      <c r="CG7" s="13"/>
      <c r="CH7" s="13"/>
      <c r="CI7" s="13"/>
      <c r="CJ7" s="13"/>
      <c r="CK7" s="13">
        <v>1</v>
      </c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9">
        <f>SUMPRODUCT(Table4624[[#This Row],[1]:[100]],$F$2:$DA$2)</f>
        <v>1207.9285714285711</v>
      </c>
      <c r="DC7" s="16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21.200000000000003</v>
      </c>
    </row>
    <row r="8" spans="1:107" outlineLevel="1" x14ac:dyDescent="0.25">
      <c r="A8" s="27">
        <v>4</v>
      </c>
      <c r="B8" s="22" t="s">
        <v>180</v>
      </c>
      <c r="C8" s="22" t="s">
        <v>181</v>
      </c>
      <c r="D8" s="22" t="s">
        <v>346</v>
      </c>
      <c r="E8" s="22" t="s">
        <v>348</v>
      </c>
      <c r="F8" s="22">
        <v>1.3</v>
      </c>
      <c r="G8" s="22">
        <v>1.3</v>
      </c>
      <c r="H8" s="22">
        <v>1.3</v>
      </c>
      <c r="I8" s="22">
        <v>1.3</v>
      </c>
      <c r="J8" s="22">
        <v>1.3</v>
      </c>
      <c r="K8" s="22">
        <v>1.3</v>
      </c>
      <c r="L8" s="22">
        <v>1.3</v>
      </c>
      <c r="M8" s="22">
        <v>1</v>
      </c>
      <c r="N8" s="22">
        <v>1.3</v>
      </c>
      <c r="O8" s="22">
        <v>1.3</v>
      </c>
      <c r="P8" s="22">
        <v>1</v>
      </c>
      <c r="Q8" s="22">
        <v>1.3</v>
      </c>
      <c r="R8" s="22">
        <v>1.3</v>
      </c>
      <c r="S8" s="22">
        <v>1.3</v>
      </c>
      <c r="T8" s="22">
        <v>1.3</v>
      </c>
      <c r="U8" s="22">
        <v>1.3</v>
      </c>
      <c r="V8" s="22">
        <v>1.3</v>
      </c>
      <c r="W8" s="22">
        <v>1.3</v>
      </c>
      <c r="X8" s="22">
        <v>1.3</v>
      </c>
      <c r="Y8" s="22">
        <v>1.3</v>
      </c>
      <c r="Z8" s="22">
        <v>1.3</v>
      </c>
      <c r="AA8" s="22">
        <v>1.3</v>
      </c>
      <c r="AB8" s="22"/>
      <c r="AC8" s="22"/>
      <c r="AD8" s="22">
        <v>1.3</v>
      </c>
      <c r="AE8" s="22"/>
      <c r="AF8" s="22"/>
      <c r="AG8" s="22"/>
      <c r="AH8" s="22">
        <v>1</v>
      </c>
      <c r="AI8" s="22">
        <v>1.3</v>
      </c>
      <c r="AJ8" s="22"/>
      <c r="AK8" s="22">
        <v>1.3</v>
      </c>
      <c r="AL8" s="22"/>
      <c r="AM8" s="22">
        <v>1</v>
      </c>
      <c r="AN8" s="22">
        <v>1.3</v>
      </c>
      <c r="AO8" s="22">
        <v>1</v>
      </c>
      <c r="AP8" s="22">
        <v>1</v>
      </c>
      <c r="AQ8" s="22"/>
      <c r="AR8" s="22">
        <v>1.3</v>
      </c>
      <c r="AS8" s="22">
        <v>1.3</v>
      </c>
      <c r="AT8" s="22">
        <v>1</v>
      </c>
      <c r="AU8" s="22">
        <v>1.3</v>
      </c>
      <c r="AV8" s="22"/>
      <c r="AW8" s="22">
        <v>1</v>
      </c>
      <c r="AX8" s="22"/>
      <c r="AY8" s="22">
        <v>1.3</v>
      </c>
      <c r="AZ8" s="22">
        <v>1.3</v>
      </c>
      <c r="BA8" s="22"/>
      <c r="BB8" s="22">
        <v>1.3</v>
      </c>
      <c r="BC8" s="22"/>
      <c r="BD8" s="22">
        <v>1.3</v>
      </c>
      <c r="BE8" s="22">
        <v>1.3</v>
      </c>
      <c r="BF8" s="22"/>
      <c r="BG8" s="22"/>
      <c r="BH8" s="22"/>
      <c r="BI8" s="22"/>
      <c r="BJ8" s="22"/>
      <c r="BK8" s="22">
        <v>1</v>
      </c>
      <c r="BL8" s="22"/>
      <c r="BM8" s="22"/>
      <c r="BN8" s="22"/>
      <c r="BO8" s="22"/>
      <c r="BP8" s="22"/>
      <c r="BQ8" s="22">
        <v>1.3</v>
      </c>
      <c r="BR8" s="22"/>
      <c r="BS8" s="22"/>
      <c r="BT8" s="22">
        <v>1</v>
      </c>
      <c r="BU8" s="22"/>
      <c r="BV8" s="22"/>
      <c r="BW8" s="22">
        <v>1</v>
      </c>
      <c r="BX8" s="22"/>
      <c r="BY8" s="22">
        <v>1</v>
      </c>
      <c r="BZ8" s="22">
        <v>1.3</v>
      </c>
      <c r="CA8" s="22"/>
      <c r="CB8" s="22">
        <v>1</v>
      </c>
      <c r="CC8" s="22">
        <v>1.3</v>
      </c>
      <c r="CD8" s="22"/>
      <c r="CE8" s="22"/>
      <c r="CF8" s="22"/>
      <c r="CG8" s="22"/>
      <c r="CH8" s="22">
        <v>1</v>
      </c>
      <c r="CI8" s="22">
        <v>1</v>
      </c>
      <c r="CJ8" s="22"/>
      <c r="CK8" s="22">
        <v>1</v>
      </c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3">
        <f>SUMPRODUCT(Table4624[[#This Row],[1]:[100]],$F$2:$DA$2)</f>
        <v>1067.6666666666665</v>
      </c>
      <c r="DC8" s="16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19.600000000000005</v>
      </c>
    </row>
    <row r="9" spans="1:107" outlineLevel="1" x14ac:dyDescent="0.25">
      <c r="A9" s="28">
        <v>5</v>
      </c>
      <c r="B9" s="22" t="s">
        <v>114</v>
      </c>
      <c r="C9" s="22" t="s">
        <v>113</v>
      </c>
      <c r="D9" s="22" t="s">
        <v>346</v>
      </c>
      <c r="E9" s="22" t="s">
        <v>350</v>
      </c>
      <c r="F9" s="22">
        <v>1.3</v>
      </c>
      <c r="G9" s="22">
        <v>1.3</v>
      </c>
      <c r="H9" s="22">
        <v>1.3</v>
      </c>
      <c r="I9" s="22">
        <v>1.3</v>
      </c>
      <c r="J9" s="22">
        <v>1.3</v>
      </c>
      <c r="K9" s="22">
        <v>1.3</v>
      </c>
      <c r="L9" s="22">
        <v>1.3</v>
      </c>
      <c r="M9" s="22">
        <v>1</v>
      </c>
      <c r="N9" s="22">
        <v>1.3</v>
      </c>
      <c r="O9" s="22">
        <v>1.3</v>
      </c>
      <c r="P9" s="22">
        <v>1.3</v>
      </c>
      <c r="Q9" s="22">
        <v>1.3</v>
      </c>
      <c r="R9" s="22">
        <v>1.3</v>
      </c>
      <c r="S9" s="22">
        <v>1.3</v>
      </c>
      <c r="T9" s="22">
        <v>1.3</v>
      </c>
      <c r="U9" s="22">
        <v>1.3</v>
      </c>
      <c r="V9" s="22">
        <v>1.3</v>
      </c>
      <c r="W9" s="22">
        <v>1.3</v>
      </c>
      <c r="X9" s="22">
        <v>1.3</v>
      </c>
      <c r="Y9" s="22">
        <v>1</v>
      </c>
      <c r="Z9" s="22">
        <v>1.3</v>
      </c>
      <c r="AA9" s="22">
        <v>1.3</v>
      </c>
      <c r="AB9" s="22"/>
      <c r="AC9" s="22">
        <v>1.3</v>
      </c>
      <c r="AD9" s="22"/>
      <c r="AE9" s="22"/>
      <c r="AF9" s="22">
        <v>1.3</v>
      </c>
      <c r="AG9" s="22">
        <v>1</v>
      </c>
      <c r="AH9" s="22">
        <v>1</v>
      </c>
      <c r="AI9" s="22">
        <v>1.3</v>
      </c>
      <c r="AJ9" s="22">
        <v>1.3</v>
      </c>
      <c r="AK9" s="22">
        <v>1.3</v>
      </c>
      <c r="AL9" s="22"/>
      <c r="AM9" s="22">
        <v>1</v>
      </c>
      <c r="AN9" s="22">
        <v>1.3</v>
      </c>
      <c r="AO9" s="22">
        <v>1</v>
      </c>
      <c r="AP9" s="22">
        <v>1.3</v>
      </c>
      <c r="AQ9" s="22">
        <v>1.3</v>
      </c>
      <c r="AR9" s="22">
        <v>1.3</v>
      </c>
      <c r="AS9" s="22">
        <v>1.3</v>
      </c>
      <c r="AT9" s="22">
        <v>1</v>
      </c>
      <c r="AU9" s="22"/>
      <c r="AV9" s="22">
        <v>1.3</v>
      </c>
      <c r="AW9" s="22">
        <v>1</v>
      </c>
      <c r="AX9" s="22">
        <v>1</v>
      </c>
      <c r="AY9" s="22">
        <v>1.3</v>
      </c>
      <c r="AZ9" s="22">
        <v>1.3</v>
      </c>
      <c r="BA9" s="22">
        <v>1.3</v>
      </c>
      <c r="BB9" s="22">
        <v>1.3</v>
      </c>
      <c r="BC9" s="22"/>
      <c r="BD9" s="22">
        <v>1.3</v>
      </c>
      <c r="BE9" s="22">
        <v>1.3</v>
      </c>
      <c r="BF9" s="22"/>
      <c r="BG9" s="22">
        <v>1.3</v>
      </c>
      <c r="BH9" s="22"/>
      <c r="BI9" s="22"/>
      <c r="BJ9" s="22"/>
      <c r="BK9" s="22"/>
      <c r="BL9" s="22">
        <v>1</v>
      </c>
      <c r="BM9" s="22"/>
      <c r="BN9" s="22"/>
      <c r="BO9" s="22"/>
      <c r="BP9" s="22"/>
      <c r="BQ9" s="22">
        <v>1</v>
      </c>
      <c r="BR9" s="22"/>
      <c r="BS9" s="22"/>
      <c r="BT9" s="22"/>
      <c r="BU9" s="22"/>
      <c r="BV9" s="22"/>
      <c r="BW9" s="22"/>
      <c r="BX9" s="22"/>
      <c r="BY9" s="22">
        <v>1.3</v>
      </c>
      <c r="BZ9" s="22">
        <v>1</v>
      </c>
      <c r="CA9" s="22"/>
      <c r="CB9" s="22">
        <v>1.3</v>
      </c>
      <c r="CC9" s="22">
        <v>1.3</v>
      </c>
      <c r="CD9" s="22"/>
      <c r="CE9" s="22"/>
      <c r="CF9" s="22"/>
      <c r="CG9" s="22">
        <v>1</v>
      </c>
      <c r="CH9" s="22"/>
      <c r="CI9" s="22"/>
      <c r="CJ9" s="22"/>
      <c r="CK9" s="22">
        <v>1</v>
      </c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3">
        <f>SUMPRODUCT(Table4624[[#This Row],[1]:[100]],$F$2:$DA$2)</f>
        <v>1042.2023809523807</v>
      </c>
      <c r="DC9" s="16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20.200000000000006</v>
      </c>
    </row>
    <row r="10" spans="1:107" outlineLevel="1" x14ac:dyDescent="0.25">
      <c r="A10" s="27">
        <v>6</v>
      </c>
      <c r="B10" s="22" t="s">
        <v>212</v>
      </c>
      <c r="C10" s="22" t="s">
        <v>213</v>
      </c>
      <c r="D10" s="25" t="s">
        <v>346</v>
      </c>
      <c r="E10" s="25" t="s">
        <v>348</v>
      </c>
      <c r="F10" s="22">
        <v>1.3</v>
      </c>
      <c r="G10" s="22">
        <v>1.3</v>
      </c>
      <c r="H10" s="22">
        <v>1.3</v>
      </c>
      <c r="I10" s="22">
        <v>1.3</v>
      </c>
      <c r="J10" s="22">
        <v>1.3</v>
      </c>
      <c r="K10" s="22">
        <v>1.3</v>
      </c>
      <c r="L10" s="22">
        <v>1.3</v>
      </c>
      <c r="M10" s="22">
        <v>1.3</v>
      </c>
      <c r="N10" s="22">
        <v>1.3</v>
      </c>
      <c r="O10" s="22">
        <v>1.3</v>
      </c>
      <c r="P10" s="22">
        <v>1.3</v>
      </c>
      <c r="Q10" s="22">
        <v>1.3</v>
      </c>
      <c r="R10" s="22">
        <v>1.3</v>
      </c>
      <c r="S10" s="22">
        <v>1.3</v>
      </c>
      <c r="T10" s="22">
        <v>1.3</v>
      </c>
      <c r="U10" s="22">
        <v>1.3</v>
      </c>
      <c r="V10" s="22">
        <v>1.3</v>
      </c>
      <c r="W10" s="22">
        <v>1.3</v>
      </c>
      <c r="X10" s="22">
        <v>1.3</v>
      </c>
      <c r="Y10" s="22">
        <v>1</v>
      </c>
      <c r="Z10" s="22">
        <v>1.3</v>
      </c>
      <c r="AA10" s="22"/>
      <c r="AB10" s="22"/>
      <c r="AC10" s="22"/>
      <c r="AD10" s="22"/>
      <c r="AE10" s="22"/>
      <c r="AF10" s="22">
        <v>1</v>
      </c>
      <c r="AG10" s="22">
        <v>1.3</v>
      </c>
      <c r="AH10" s="22">
        <v>1.3</v>
      </c>
      <c r="AI10" s="22">
        <v>1.3</v>
      </c>
      <c r="AJ10" s="22">
        <v>1</v>
      </c>
      <c r="AK10" s="22">
        <v>1.3</v>
      </c>
      <c r="AL10" s="22"/>
      <c r="AM10" s="22"/>
      <c r="AN10" s="22">
        <v>1.3</v>
      </c>
      <c r="AO10" s="22"/>
      <c r="AP10" s="22">
        <v>1</v>
      </c>
      <c r="AQ10" s="22"/>
      <c r="AR10" s="22">
        <v>1.3</v>
      </c>
      <c r="AS10" s="22">
        <v>1.3</v>
      </c>
      <c r="AT10" s="22">
        <v>1.3</v>
      </c>
      <c r="AU10" s="22">
        <v>1.3</v>
      </c>
      <c r="AV10" s="22">
        <v>1.3</v>
      </c>
      <c r="AW10" s="22">
        <v>1</v>
      </c>
      <c r="AX10" s="22"/>
      <c r="AY10" s="22">
        <v>1.3</v>
      </c>
      <c r="AZ10" s="22">
        <v>1.3</v>
      </c>
      <c r="BA10" s="22">
        <v>1</v>
      </c>
      <c r="BB10" s="22">
        <v>1.3</v>
      </c>
      <c r="BC10" s="22">
        <v>1</v>
      </c>
      <c r="BD10" s="22"/>
      <c r="BE10" s="22">
        <v>1.3</v>
      </c>
      <c r="BF10" s="22"/>
      <c r="BG10" s="22">
        <v>1.3</v>
      </c>
      <c r="BH10" s="22"/>
      <c r="BI10" s="22"/>
      <c r="BJ10" s="22"/>
      <c r="BK10" s="22"/>
      <c r="BL10" s="22"/>
      <c r="BM10" s="22"/>
      <c r="BN10" s="22"/>
      <c r="BO10" s="22"/>
      <c r="BP10" s="22"/>
      <c r="BQ10" s="22">
        <v>1</v>
      </c>
      <c r="BR10" s="22"/>
      <c r="BS10" s="22"/>
      <c r="BT10" s="22"/>
      <c r="BU10" s="22"/>
      <c r="BV10" s="22"/>
      <c r="BW10" s="22"/>
      <c r="BX10" s="22"/>
      <c r="BY10" s="22">
        <v>1</v>
      </c>
      <c r="BZ10" s="22">
        <v>1.3</v>
      </c>
      <c r="CA10" s="22">
        <v>1</v>
      </c>
      <c r="CB10" s="22">
        <v>1</v>
      </c>
      <c r="CC10" s="22">
        <v>1.3</v>
      </c>
      <c r="CD10" s="22"/>
      <c r="CE10" s="22"/>
      <c r="CF10" s="22"/>
      <c r="CG10" s="22">
        <v>1</v>
      </c>
      <c r="CH10" s="22"/>
      <c r="CI10" s="22"/>
      <c r="CJ10" s="22"/>
      <c r="CK10" s="22">
        <v>1</v>
      </c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3">
        <f>SUMPRODUCT(Table4624[[#This Row],[1]:[100]],$F$2:$DA$2)</f>
        <v>994.25</v>
      </c>
      <c r="DC10" s="16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18.000000000000004</v>
      </c>
    </row>
    <row r="11" spans="1:107" x14ac:dyDescent="0.25">
      <c r="A11" s="27">
        <v>7</v>
      </c>
      <c r="B11" s="25" t="s">
        <v>303</v>
      </c>
      <c r="C11" s="25" t="s">
        <v>304</v>
      </c>
      <c r="D11" s="25" t="s">
        <v>317</v>
      </c>
      <c r="E11" s="25" t="s">
        <v>300</v>
      </c>
      <c r="F11" s="25">
        <v>1.3</v>
      </c>
      <c r="G11" s="25">
        <v>1.3</v>
      </c>
      <c r="H11" s="25">
        <v>1.3</v>
      </c>
      <c r="I11" s="25">
        <v>1.3</v>
      </c>
      <c r="J11" s="25">
        <v>1.3</v>
      </c>
      <c r="K11" s="25">
        <v>1.3</v>
      </c>
      <c r="L11" s="25">
        <v>1.3</v>
      </c>
      <c r="M11" s="25">
        <v>1.3</v>
      </c>
      <c r="N11" s="25">
        <v>1</v>
      </c>
      <c r="O11" s="25">
        <v>1.3</v>
      </c>
      <c r="P11" s="25">
        <v>1.3</v>
      </c>
      <c r="Q11" s="25">
        <v>1.3</v>
      </c>
      <c r="R11" s="25">
        <v>1.3</v>
      </c>
      <c r="S11" s="25">
        <v>1</v>
      </c>
      <c r="T11" s="25">
        <v>1.3</v>
      </c>
      <c r="U11" s="25">
        <v>1.3</v>
      </c>
      <c r="V11" s="25">
        <v>1.3</v>
      </c>
      <c r="W11" s="25"/>
      <c r="X11" s="25"/>
      <c r="Y11" s="25">
        <v>1.3</v>
      </c>
      <c r="Z11" s="25">
        <v>1.3</v>
      </c>
      <c r="AA11" s="25">
        <v>1</v>
      </c>
      <c r="AB11" s="25">
        <v>1</v>
      </c>
      <c r="AC11" s="25">
        <v>1</v>
      </c>
      <c r="AD11" s="25"/>
      <c r="AE11" s="22">
        <v>1</v>
      </c>
      <c r="AF11" s="22">
        <v>1</v>
      </c>
      <c r="AG11" s="22">
        <v>1</v>
      </c>
      <c r="AH11" s="22"/>
      <c r="AI11" s="22">
        <v>1.3</v>
      </c>
      <c r="AJ11" s="22"/>
      <c r="AK11" s="22">
        <v>1</v>
      </c>
      <c r="AL11" s="22"/>
      <c r="AM11" s="22">
        <v>1</v>
      </c>
      <c r="AN11" s="22">
        <v>1</v>
      </c>
      <c r="AO11" s="22">
        <v>1.3</v>
      </c>
      <c r="AP11" s="22">
        <v>1.3</v>
      </c>
      <c r="AQ11" s="22">
        <v>1.3</v>
      </c>
      <c r="AR11" s="22">
        <v>1.3</v>
      </c>
      <c r="AS11" s="22">
        <v>1.3</v>
      </c>
      <c r="AT11" s="22"/>
      <c r="AU11" s="22">
        <v>1.3</v>
      </c>
      <c r="AV11" s="22">
        <v>1.3</v>
      </c>
      <c r="AW11" s="22"/>
      <c r="AX11" s="22"/>
      <c r="AY11" s="22">
        <v>1.3</v>
      </c>
      <c r="AZ11" s="22"/>
      <c r="BA11" s="22">
        <v>1.3</v>
      </c>
      <c r="BB11" s="22">
        <v>1</v>
      </c>
      <c r="BC11" s="22"/>
      <c r="BD11" s="22">
        <v>1.3</v>
      </c>
      <c r="BE11" s="22">
        <v>1.3</v>
      </c>
      <c r="BF11" s="22"/>
      <c r="BG11" s="22"/>
      <c r="BH11" s="22">
        <v>1</v>
      </c>
      <c r="BI11" s="22"/>
      <c r="BJ11" s="22"/>
      <c r="BK11" s="22"/>
      <c r="BL11" s="22"/>
      <c r="BM11" s="22"/>
      <c r="BN11" s="22"/>
      <c r="BO11" s="22"/>
      <c r="BP11" s="22"/>
      <c r="BQ11" s="22">
        <v>1.3</v>
      </c>
      <c r="BR11" s="22"/>
      <c r="BS11" s="22"/>
      <c r="BT11" s="22"/>
      <c r="BU11" s="22"/>
      <c r="BV11" s="22"/>
      <c r="BW11" s="22">
        <v>1</v>
      </c>
      <c r="BX11" s="22"/>
      <c r="BY11" s="22"/>
      <c r="BZ11" s="22"/>
      <c r="CA11" s="22">
        <v>1</v>
      </c>
      <c r="CB11" s="22"/>
      <c r="CC11" s="22">
        <v>1.3</v>
      </c>
      <c r="CD11" s="22"/>
      <c r="CE11" s="22">
        <v>1.3</v>
      </c>
      <c r="CF11" s="22"/>
      <c r="CG11" s="22"/>
      <c r="CH11" s="22"/>
      <c r="CI11" s="22"/>
      <c r="CJ11" s="22"/>
      <c r="CK11" s="22">
        <v>1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3">
        <f>SUMPRODUCT(Table4624[[#This Row],[1]:[100]],$F$2:$DA$2)</f>
        <v>961.88095238095229</v>
      </c>
      <c r="DC11" s="9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14.400000000000002</v>
      </c>
    </row>
    <row r="12" spans="1:107" x14ac:dyDescent="0.25">
      <c r="A12" s="28">
        <v>8</v>
      </c>
      <c r="B12" s="25" t="s">
        <v>120</v>
      </c>
      <c r="C12" s="25" t="s">
        <v>121</v>
      </c>
      <c r="D12" s="25" t="s">
        <v>346</v>
      </c>
      <c r="E12" s="25" t="s">
        <v>349</v>
      </c>
      <c r="F12" s="25">
        <v>1.3</v>
      </c>
      <c r="G12" s="25">
        <v>1.3</v>
      </c>
      <c r="H12" s="25">
        <v>1.3</v>
      </c>
      <c r="I12" s="25">
        <v>1.3</v>
      </c>
      <c r="J12" s="25">
        <v>1.3</v>
      </c>
      <c r="K12" s="25">
        <v>1</v>
      </c>
      <c r="L12" s="25">
        <v>1.3</v>
      </c>
      <c r="M12" s="25"/>
      <c r="N12" s="25">
        <v>1</v>
      </c>
      <c r="O12" s="25">
        <v>1.3</v>
      </c>
      <c r="P12" s="25">
        <v>1.3</v>
      </c>
      <c r="Q12" s="25">
        <v>1.3</v>
      </c>
      <c r="R12" s="25">
        <v>1.3</v>
      </c>
      <c r="S12" s="25">
        <v>1.3</v>
      </c>
      <c r="T12" s="25">
        <v>1.3</v>
      </c>
      <c r="U12" s="25">
        <v>1.3</v>
      </c>
      <c r="V12" s="25"/>
      <c r="W12" s="25">
        <v>1.3</v>
      </c>
      <c r="X12" s="25">
        <v>1.3</v>
      </c>
      <c r="Y12" s="25"/>
      <c r="Z12" s="25">
        <v>1</v>
      </c>
      <c r="AA12" s="25"/>
      <c r="AB12" s="25"/>
      <c r="AC12" s="25"/>
      <c r="AD12" s="25"/>
      <c r="AE12" s="22">
        <v>1</v>
      </c>
      <c r="AF12" s="22"/>
      <c r="AG12" s="22"/>
      <c r="AH12" s="22">
        <v>1</v>
      </c>
      <c r="AI12" s="22">
        <v>1.3</v>
      </c>
      <c r="AJ12" s="22">
        <v>1.3</v>
      </c>
      <c r="AK12" s="22">
        <v>1</v>
      </c>
      <c r="AL12" s="22"/>
      <c r="AM12" s="22">
        <v>1.3</v>
      </c>
      <c r="AN12" s="22">
        <v>1.3</v>
      </c>
      <c r="AO12" s="22"/>
      <c r="AP12" s="22">
        <v>1</v>
      </c>
      <c r="AQ12" s="22"/>
      <c r="AR12" s="22">
        <v>1.3</v>
      </c>
      <c r="AS12" s="22">
        <v>1.3</v>
      </c>
      <c r="AT12" s="22"/>
      <c r="AU12" s="22">
        <v>1.3</v>
      </c>
      <c r="AV12" s="22">
        <v>1.3</v>
      </c>
      <c r="AW12" s="22"/>
      <c r="AX12" s="22"/>
      <c r="AY12" s="22">
        <v>1.3</v>
      </c>
      <c r="AZ12" s="22">
        <v>1</v>
      </c>
      <c r="BA12" s="22">
        <v>1</v>
      </c>
      <c r="BB12" s="22">
        <v>1</v>
      </c>
      <c r="BC12" s="22"/>
      <c r="BD12" s="22">
        <v>1</v>
      </c>
      <c r="BE12" s="22">
        <v>1</v>
      </c>
      <c r="BF12" s="22"/>
      <c r="BG12" s="22">
        <v>1</v>
      </c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>
        <v>1</v>
      </c>
      <c r="BU12" s="22"/>
      <c r="BV12" s="22"/>
      <c r="BW12" s="22"/>
      <c r="BX12" s="22"/>
      <c r="BY12" s="22"/>
      <c r="BZ12" s="22">
        <v>1</v>
      </c>
      <c r="CA12" s="22"/>
      <c r="CB12" s="22"/>
      <c r="CC12" s="22">
        <v>1</v>
      </c>
      <c r="CD12" s="22"/>
      <c r="CE12" s="22"/>
      <c r="CF12" s="22"/>
      <c r="CG12" s="22">
        <v>1</v>
      </c>
      <c r="CH12" s="22"/>
      <c r="CI12" s="22"/>
      <c r="CJ12" s="22"/>
      <c r="CK12" s="22">
        <v>1</v>
      </c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3">
        <f>SUMPRODUCT(Table4624[[#This Row],[1]:[100]],$F$2:$DA$2)</f>
        <v>707.90476190476204</v>
      </c>
      <c r="DC12" s="17">
        <f>SUM(Table4624[[#This Row],[4]],Table4624[[#This Row],[9]],Table4624[[#This Row],[17]:[19]],Table4624[[#This Row],[32]],Table4624[[#This Row],[35]],Table4624[[#This Row],[38]:[40]],Table4624[[#This Row],[44]],Table4624[[#This Row],[51]],Table4624[[#This Row],[53]],Table4624[[#This Row],[56]:[57]],Table4624[[#This Row],[60]],Table4624[[#This Row],[62]],Table4624[[#This Row],[64]],Table4624[[#This Row],[66]],Table4624[[#This Row],[69]],Table4624[[#This Row],[71]:[72]],Table4624[[#This Row],[74]:[76]],Table4624[[#This Row],[82]],Table4624[[#This Row],[87]],Table4624[[#This Row],[90]],Table4624[[#This Row],[93]],Table4624[[#This Row],[96]],Table4624[[#This Row],[100]])</f>
        <v>11.8</v>
      </c>
    </row>
  </sheetData>
  <mergeCells count="1">
    <mergeCell ref="A2:E2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D29"/>
  <sheetViews>
    <sheetView zoomScale="80" zoomScaleNormal="80" workbookViewId="0">
      <selection activeCell="DG15" sqref="DG15"/>
    </sheetView>
  </sheetViews>
  <sheetFormatPr defaultRowHeight="15" outlineLevelRow="1" outlineLevelCol="1" x14ac:dyDescent="0.25"/>
  <cols>
    <col min="1" max="1" width="8.7109375" bestFit="1" customWidth="1"/>
    <col min="2" max="2" width="12.140625" bestFit="1" customWidth="1"/>
    <col min="3" max="3" width="16.5703125" bestFit="1" customWidth="1"/>
    <col min="4" max="4" width="9.42578125" bestFit="1" customWidth="1"/>
    <col min="5" max="5" width="14.85546875" bestFit="1" customWidth="1"/>
    <col min="6" max="14" width="4.140625" hidden="1" customWidth="1" outlineLevel="1"/>
    <col min="15" max="105" width="5.140625" hidden="1" customWidth="1" outlineLevel="1"/>
    <col min="106" max="106" width="9.140625" collapsed="1"/>
    <col min="107" max="107" width="13.7109375" hidden="1" customWidth="1" outlineLevel="1"/>
    <col min="108" max="108" width="9.140625" collapsed="1"/>
  </cols>
  <sheetData>
    <row r="1" spans="1:107" outlineLevel="1" x14ac:dyDescent="0.25">
      <c r="A1" t="s">
        <v>7</v>
      </c>
      <c r="B1">
        <v>100</v>
      </c>
    </row>
    <row r="2" spans="1:107" outlineLevel="1" x14ac:dyDescent="0.25">
      <c r="A2" s="34" t="s">
        <v>34</v>
      </c>
      <c r="B2" s="34"/>
      <c r="C2" s="34"/>
      <c r="D2" s="34"/>
      <c r="E2" s="34"/>
      <c r="F2">
        <f>IFERROR($B$1/COUNT(Table46245[1]),0)</f>
        <v>4.166666666666667</v>
      </c>
      <c r="G2">
        <f>IFERROR($B$1/COUNT(Table46245[2]),0)</f>
        <v>4.166666666666667</v>
      </c>
      <c r="H2">
        <f>IFERROR($B$1/COUNT(Table46245[3]),0)</f>
        <v>4.166666666666667</v>
      </c>
      <c r="I2">
        <f>IFERROR($B$1/COUNT(Table46245[4]),0)</f>
        <v>4</v>
      </c>
      <c r="J2">
        <f>IFERROR($B$1/COUNT(Table46245[5]),0)</f>
        <v>4</v>
      </c>
      <c r="K2">
        <f>IFERROR($B$1/COUNT(Table46245[6]),0)</f>
        <v>5.5555555555555554</v>
      </c>
      <c r="L2">
        <f>IFERROR($B$1/COUNT(Table46245[7]),0)</f>
        <v>5.2631578947368425</v>
      </c>
      <c r="M2">
        <f>IFERROR($B$1/COUNT(Table46245[8]),0)</f>
        <v>25</v>
      </c>
      <c r="N2">
        <f>IFERROR($B$1/COUNT(Table46245[9]),0)</f>
        <v>20</v>
      </c>
      <c r="O2">
        <f>IFERROR($B$1/COUNT(Table46245[10]),0)</f>
        <v>6.25</v>
      </c>
      <c r="P2">
        <f>IFERROR($B$1/COUNT(Table46245[11]),0)</f>
        <v>8.3333333333333339</v>
      </c>
      <c r="Q2">
        <f>IFERROR($B$1/COUNT(Table46245[12]),0)</f>
        <v>5</v>
      </c>
      <c r="R2">
        <f>IFERROR($B$1/COUNT(Table46245[13]),0)</f>
        <v>5.882352941176471</v>
      </c>
      <c r="S2">
        <f>IFERROR($B$1/COUNT(Table46245[14]),0)</f>
        <v>5.882352941176471</v>
      </c>
      <c r="T2">
        <f>IFERROR($B$1/COUNT(Table46245[15]),0)</f>
        <v>4.3478260869565215</v>
      </c>
      <c r="U2">
        <f>IFERROR($B$1/COUNT(Table46245[16]),0)</f>
        <v>4.166666666666667</v>
      </c>
      <c r="V2">
        <f>IFERROR($B$1/COUNT(Table46245[17]),0)</f>
        <v>4.5454545454545459</v>
      </c>
      <c r="W2">
        <f>IFERROR($B$1/COUNT(Table46245[18]),0)</f>
        <v>4.5454545454545459</v>
      </c>
      <c r="X2">
        <f>IFERROR($B$1/COUNT(Table46245[19]),0)</f>
        <v>4.5454545454545459</v>
      </c>
      <c r="Y2">
        <f>IFERROR($B$1/COUNT(Table46245[20]),0)</f>
        <v>50</v>
      </c>
      <c r="Z2">
        <f>IFERROR($B$1/COUNT(Table46245[21]),0)</f>
        <v>8.3333333333333339</v>
      </c>
      <c r="AA2">
        <f>IFERROR($B$1/COUNT(Table46245[22]),0)</f>
        <v>0</v>
      </c>
      <c r="AB2">
        <f>IFERROR($B$1/COUNT(Table46245[23]),0)</f>
        <v>0</v>
      </c>
      <c r="AC2">
        <f>IFERROR($B$1/COUNT(Table46245[24]),0)</f>
        <v>0</v>
      </c>
      <c r="AD2">
        <f>IFERROR($B$1/COUNT(Table46245[25]),0)</f>
        <v>0</v>
      </c>
      <c r="AE2">
        <f>IFERROR($B$1/COUNT(Table46245[26]),0)</f>
        <v>0</v>
      </c>
      <c r="AF2">
        <f>IFERROR($B$1/COUNT(Table46245[27]),0)</f>
        <v>25</v>
      </c>
      <c r="AG2">
        <f>IFERROR($B$1/COUNT(Table46245[28]),0)</f>
        <v>100</v>
      </c>
      <c r="AH2">
        <f>IFERROR($B$1/COUNT(Table46245[29]),0)</f>
        <v>20</v>
      </c>
      <c r="AI2">
        <f>IFERROR($B$1/COUNT(Table46245[30]),0)</f>
        <v>6.666666666666667</v>
      </c>
      <c r="AJ2">
        <f>IFERROR($B$1/COUNT(Table46245[31]),0)</f>
        <v>100</v>
      </c>
      <c r="AK2">
        <f>IFERROR($B$1/COUNT(Table46245[32]),0)</f>
        <v>16.666666666666668</v>
      </c>
      <c r="AL2">
        <f>IFERROR($B$1/COUNT(Table46245[33]),0)</f>
        <v>0</v>
      </c>
      <c r="AM2">
        <f>IFERROR($B$1/COUNT(Table46245[34]),0)</f>
        <v>20</v>
      </c>
      <c r="AN2">
        <f>IFERROR($B$1/COUNT(Table46245[35]),0)</f>
        <v>9.0909090909090917</v>
      </c>
      <c r="AO2">
        <f>IFERROR($B$1/COUNT(Table46245[36]),0)</f>
        <v>33.333333333333336</v>
      </c>
      <c r="AP2">
        <f>IFERROR($B$1/COUNT(Table46245[37]),0)</f>
        <v>16.666666666666668</v>
      </c>
      <c r="AQ2">
        <f>IFERROR($B$1/COUNT(Table46245[38]),0)</f>
        <v>33.333333333333336</v>
      </c>
      <c r="AR2">
        <f>IFERROR($B$1/COUNT(Table46245[39]),0)</f>
        <v>9.0909090909090917</v>
      </c>
      <c r="AS2">
        <f>IFERROR($B$1/COUNT(Table46245[40]),0)</f>
        <v>5</v>
      </c>
      <c r="AT2">
        <f>IFERROR($B$1/COUNT(Table46245[41]),0)</f>
        <v>33.333333333333336</v>
      </c>
      <c r="AU2">
        <f>IFERROR($B$1/COUNT(Table46245[42]),0)</f>
        <v>7.1428571428571432</v>
      </c>
      <c r="AV2">
        <f>IFERROR($B$1/COUNT(Table46245[43]),0)</f>
        <v>5.5555555555555554</v>
      </c>
      <c r="AW2">
        <f>IFERROR($B$1/COUNT(Table46245[44]),0)</f>
        <v>100</v>
      </c>
      <c r="AX2">
        <f>IFERROR($B$1/COUNT(Table46245[45]),0)</f>
        <v>0</v>
      </c>
      <c r="AY2">
        <f>IFERROR($B$1/COUNT(Table46245[46]),0)</f>
        <v>14.285714285714286</v>
      </c>
      <c r="AZ2">
        <f>IFERROR($B$1/COUNT(Table46245[47]),0)</f>
        <v>14.285714285714286</v>
      </c>
      <c r="BA2">
        <f>IFERROR($B$1/COUNT(Table46245[48]),0)</f>
        <v>50</v>
      </c>
      <c r="BB2">
        <f>IFERROR($B$1/COUNT(Table46245[49]),0)</f>
        <v>14.285714285714286</v>
      </c>
      <c r="BC2">
        <f>IFERROR($B$1/COUNT(Table46245[50]),0)</f>
        <v>0</v>
      </c>
      <c r="BD2">
        <f>IFERROR($B$1/COUNT(Table46245[51]),0)</f>
        <v>8.3333333333333339</v>
      </c>
      <c r="BE2">
        <f>IFERROR($B$1/COUNT(Table46245[52]),0)</f>
        <v>12.5</v>
      </c>
      <c r="BF2">
        <f>IFERROR($B$1/COUNT(Table46245[53]),0)</f>
        <v>0</v>
      </c>
      <c r="BG2">
        <f>IFERROR($B$1/COUNT(Table46245[54]),0)</f>
        <v>33.333333333333336</v>
      </c>
      <c r="BH2">
        <f>IFERROR($B$1/COUNT(Table46245[55]),0)</f>
        <v>0</v>
      </c>
      <c r="BI2">
        <f>IFERROR($B$1/COUNT(Table46245[56]),0)</f>
        <v>0</v>
      </c>
      <c r="BJ2">
        <f>IFERROR($B$1/COUNT(Table46245[57]),0)</f>
        <v>100</v>
      </c>
      <c r="BK2">
        <f>IFERROR($B$1/COUNT(Table46245[58]),0)</f>
        <v>0</v>
      </c>
      <c r="BL2">
        <f>IFERROR($B$1/COUNT(Table46245[59]),0)</f>
        <v>0</v>
      </c>
      <c r="BM2">
        <f>IFERROR($B$1/COUNT(Table46245[60]),0)</f>
        <v>0</v>
      </c>
      <c r="BN2">
        <f>IFERROR($B$1/COUNT(Table46245[61]),0)</f>
        <v>0</v>
      </c>
      <c r="BO2">
        <f>IFERROR($B$1/COUNT(Table46245[62]),0)</f>
        <v>0</v>
      </c>
      <c r="BP2">
        <f>IFERROR($B$1/COUNT(Table46245[63]),0)</f>
        <v>0</v>
      </c>
      <c r="BQ2">
        <f>IFERROR($B$1/COUNT(Table46245[64]),0)</f>
        <v>50</v>
      </c>
      <c r="BR2">
        <f>IFERROR($B$1/COUNT(Table46245[65]),0)</f>
        <v>0</v>
      </c>
      <c r="BS2">
        <f>IFERROR($B$1/COUNT(Table46245[66]),0)</f>
        <v>0</v>
      </c>
      <c r="BT2">
        <f>IFERROR($B$1/COUNT(Table46245[67]),0)</f>
        <v>0</v>
      </c>
      <c r="BU2">
        <f>IFERROR($B$1/COUNT(Table46245[68]),0)</f>
        <v>0</v>
      </c>
      <c r="BV2">
        <f>IFERROR($B$1/COUNT(Table46245[69]),0)</f>
        <v>0</v>
      </c>
      <c r="BW2">
        <f>IFERROR($B$1/COUNT(Table46245[70]),0)</f>
        <v>100</v>
      </c>
      <c r="BX2">
        <f>IFERROR($B$1/COUNT(Table46245[71]),0)</f>
        <v>0</v>
      </c>
      <c r="BY2">
        <f>IFERROR($B$1/COUNT(Table46245[72]),0)</f>
        <v>50</v>
      </c>
      <c r="BZ2">
        <f>IFERROR($B$1/COUNT(Table46245[73]),0)</f>
        <v>33.333333333333336</v>
      </c>
      <c r="CA2">
        <f>IFERROR($B$1/COUNT(Table46245[74]),0)</f>
        <v>0</v>
      </c>
      <c r="CB2">
        <f>IFERROR($B$1/COUNT(Table46245[75]),0)</f>
        <v>50</v>
      </c>
      <c r="CC2">
        <f>IFERROR($B$1/COUNT(Table46245[76]),0)</f>
        <v>50</v>
      </c>
      <c r="CD2">
        <f>IFERROR($B$1/COUNT(Table46245[77]),0)</f>
        <v>0</v>
      </c>
      <c r="CE2">
        <f>IFERROR($B$1/COUNT(Table46245[78]),0)</f>
        <v>100</v>
      </c>
      <c r="CF2">
        <f>IFERROR($B$1/COUNT(Table46245[79]),0)</f>
        <v>0</v>
      </c>
      <c r="CG2">
        <f>IFERROR($B$1/COUNT(Table46245[80]),0)</f>
        <v>100</v>
      </c>
      <c r="CH2">
        <f>IFERROR($B$1/COUNT(Table46245[81]),0)</f>
        <v>100</v>
      </c>
      <c r="CI2">
        <f>IFERROR($B$1/COUNT(Table46245[82]),0)</f>
        <v>100</v>
      </c>
      <c r="CJ2">
        <f>IFERROR($B$1/COUNT(Table46245[83]),0)</f>
        <v>0</v>
      </c>
      <c r="CK2">
        <f>IFERROR($B$1/COUNT(Table46245[84]),0)</f>
        <v>100</v>
      </c>
      <c r="CL2">
        <f>IFERROR($B$1/COUNT(Table46245[85]),0)</f>
        <v>0</v>
      </c>
      <c r="CM2">
        <f>IFERROR($B$1/COUNT(Table46245[86]),0)</f>
        <v>0</v>
      </c>
      <c r="CN2">
        <f>IFERROR($B$1/COUNT(Table46245[87]),0)</f>
        <v>0</v>
      </c>
      <c r="CO2">
        <f>IFERROR($B$1/COUNT(Table46245[88]),0)</f>
        <v>0</v>
      </c>
      <c r="CP2">
        <f>IFERROR($B$1/COUNT(Table46245[89]),0)</f>
        <v>0</v>
      </c>
      <c r="CQ2">
        <f>IFERROR($B$1/COUNT(Table46245[90]),0)</f>
        <v>0</v>
      </c>
      <c r="CR2">
        <f>IFERROR($B$1/COUNT(Table46245[91]),0)</f>
        <v>0</v>
      </c>
      <c r="CS2">
        <f>IFERROR($B$1/COUNT(Table46245[92]),0)</f>
        <v>0</v>
      </c>
      <c r="CT2">
        <f>IFERROR($B$1/COUNT(Table46245[93]),0)</f>
        <v>0</v>
      </c>
      <c r="CU2">
        <f>IFERROR($B$1/COUNT(Table46245[94]),0)</f>
        <v>0</v>
      </c>
      <c r="CV2">
        <f>IFERROR($B$1/COUNT(Table46245[95]),0)</f>
        <v>0</v>
      </c>
      <c r="CW2">
        <f>IFERROR($B$1/COUNT(Table46245[96]),0)</f>
        <v>0</v>
      </c>
      <c r="CX2">
        <f>IFERROR($B$1/COUNT(Table46245[97]),0)</f>
        <v>0</v>
      </c>
      <c r="CY2">
        <f>IFERROR($B$1/COUNT(Table46245[98]),0)</f>
        <v>0</v>
      </c>
      <c r="CZ2">
        <f>IFERROR($B$1/COUNT(Table46245[99]),0)</f>
        <v>0</v>
      </c>
      <c r="DA2">
        <f>IFERROR($B$1/COUNT(Table46245[100]),0)</f>
        <v>0</v>
      </c>
    </row>
    <row r="3" spans="1:107" outlineLevel="1" x14ac:dyDescent="0.25">
      <c r="A3" t="s">
        <v>4</v>
      </c>
      <c r="B3">
        <v>1.3</v>
      </c>
      <c r="C3" t="s">
        <v>5</v>
      </c>
      <c r="D3">
        <v>1</v>
      </c>
    </row>
    <row r="4" spans="1:107" x14ac:dyDescent="0.25">
      <c r="A4" s="1" t="s">
        <v>6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8</v>
      </c>
      <c r="G4" s="2" t="s">
        <v>9</v>
      </c>
      <c r="H4" s="2" t="s">
        <v>10</v>
      </c>
      <c r="I4" s="11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11" t="s">
        <v>16</v>
      </c>
      <c r="O4" s="2" t="s">
        <v>17</v>
      </c>
      <c r="P4" s="2" t="s">
        <v>18</v>
      </c>
      <c r="Q4" s="2" t="s">
        <v>19</v>
      </c>
      <c r="R4" s="2" t="s">
        <v>20</v>
      </c>
      <c r="S4" s="2" t="s">
        <v>21</v>
      </c>
      <c r="T4" s="2" t="s">
        <v>22</v>
      </c>
      <c r="U4" s="2" t="s">
        <v>23</v>
      </c>
      <c r="V4" s="11" t="s">
        <v>24</v>
      </c>
      <c r="W4" s="11" t="s">
        <v>25</v>
      </c>
      <c r="X4" s="11" t="s">
        <v>26</v>
      </c>
      <c r="Y4" s="2" t="s">
        <v>27</v>
      </c>
      <c r="Z4" s="2" t="s">
        <v>28</v>
      </c>
      <c r="AA4" s="2" t="s">
        <v>29</v>
      </c>
      <c r="AB4" s="2" t="s">
        <v>30</v>
      </c>
      <c r="AC4" s="2" t="s">
        <v>31</v>
      </c>
      <c r="AD4" s="2" t="s">
        <v>32</v>
      </c>
      <c r="AE4" s="10" t="s">
        <v>35</v>
      </c>
      <c r="AF4" s="10" t="s">
        <v>36</v>
      </c>
      <c r="AG4" s="10" t="s">
        <v>37</v>
      </c>
      <c r="AH4" s="10" t="s">
        <v>38</v>
      </c>
      <c r="AI4" s="10" t="s">
        <v>39</v>
      </c>
      <c r="AJ4" s="10" t="s">
        <v>40</v>
      </c>
      <c r="AK4" s="14" t="s">
        <v>41</v>
      </c>
      <c r="AL4" s="10" t="s">
        <v>42</v>
      </c>
      <c r="AM4" s="10" t="s">
        <v>43</v>
      </c>
      <c r="AN4" s="14" t="s">
        <v>44</v>
      </c>
      <c r="AO4" s="10" t="s">
        <v>45</v>
      </c>
      <c r="AP4" s="10" t="s">
        <v>46</v>
      </c>
      <c r="AQ4" s="14" t="s">
        <v>47</v>
      </c>
      <c r="AR4" s="14" t="s">
        <v>48</v>
      </c>
      <c r="AS4" s="14" t="s">
        <v>49</v>
      </c>
      <c r="AT4" s="10" t="s">
        <v>50</v>
      </c>
      <c r="AU4" s="10" t="s">
        <v>51</v>
      </c>
      <c r="AV4" s="10" t="s">
        <v>52</v>
      </c>
      <c r="AW4" s="14" t="s">
        <v>53</v>
      </c>
      <c r="AX4" s="10" t="s">
        <v>54</v>
      </c>
      <c r="AY4" s="10" t="s">
        <v>55</v>
      </c>
      <c r="AZ4" s="10" t="s">
        <v>56</v>
      </c>
      <c r="BA4" s="10" t="s">
        <v>57</v>
      </c>
      <c r="BB4" s="10" t="s">
        <v>58</v>
      </c>
      <c r="BC4" s="10" t="s">
        <v>59</v>
      </c>
      <c r="BD4" s="14" t="s">
        <v>60</v>
      </c>
      <c r="BE4" s="10" t="s">
        <v>61</v>
      </c>
      <c r="BF4" s="14" t="s">
        <v>62</v>
      </c>
      <c r="BG4" s="10" t="s">
        <v>63</v>
      </c>
      <c r="BH4" s="10" t="s">
        <v>64</v>
      </c>
      <c r="BI4" s="14" t="s">
        <v>65</v>
      </c>
      <c r="BJ4" s="14" t="s">
        <v>66</v>
      </c>
      <c r="BK4" s="10" t="s">
        <v>67</v>
      </c>
      <c r="BL4" s="10" t="s">
        <v>68</v>
      </c>
      <c r="BM4" s="14" t="s">
        <v>69</v>
      </c>
      <c r="BN4" s="10" t="s">
        <v>70</v>
      </c>
      <c r="BO4" s="14" t="s">
        <v>71</v>
      </c>
      <c r="BP4" s="10" t="s">
        <v>72</v>
      </c>
      <c r="BQ4" s="14" t="s">
        <v>73</v>
      </c>
      <c r="BR4" s="10" t="s">
        <v>74</v>
      </c>
      <c r="BS4" s="14" t="s">
        <v>75</v>
      </c>
      <c r="BT4" s="10" t="s">
        <v>76</v>
      </c>
      <c r="BU4" s="10" t="s">
        <v>77</v>
      </c>
      <c r="BV4" s="14" t="s">
        <v>78</v>
      </c>
      <c r="BW4" s="10" t="s">
        <v>79</v>
      </c>
      <c r="BX4" s="14" t="s">
        <v>80</v>
      </c>
      <c r="BY4" s="14" t="s">
        <v>81</v>
      </c>
      <c r="BZ4" s="10" t="s">
        <v>82</v>
      </c>
      <c r="CA4" s="14" t="s">
        <v>83</v>
      </c>
      <c r="CB4" s="14" t="s">
        <v>84</v>
      </c>
      <c r="CC4" s="14" t="s">
        <v>85</v>
      </c>
      <c r="CD4" s="10" t="s">
        <v>86</v>
      </c>
      <c r="CE4" s="10" t="s">
        <v>87</v>
      </c>
      <c r="CF4" s="10" t="s">
        <v>88</v>
      </c>
      <c r="CG4" s="10" t="s">
        <v>89</v>
      </c>
      <c r="CH4" s="10" t="s">
        <v>90</v>
      </c>
      <c r="CI4" s="14" t="s">
        <v>91</v>
      </c>
      <c r="CJ4" s="10" t="s">
        <v>92</v>
      </c>
      <c r="CK4" s="10" t="s">
        <v>93</v>
      </c>
      <c r="CL4" s="10" t="s">
        <v>94</v>
      </c>
      <c r="CM4" s="10" t="s">
        <v>95</v>
      </c>
      <c r="CN4" s="14" t="s">
        <v>96</v>
      </c>
      <c r="CO4" s="10" t="s">
        <v>97</v>
      </c>
      <c r="CP4" s="10" t="s">
        <v>98</v>
      </c>
      <c r="CQ4" s="14" t="s">
        <v>99</v>
      </c>
      <c r="CR4" s="10" t="s">
        <v>100</v>
      </c>
      <c r="CS4" s="10" t="s">
        <v>101</v>
      </c>
      <c r="CT4" s="14" t="s">
        <v>102</v>
      </c>
      <c r="CU4" s="10" t="s">
        <v>103</v>
      </c>
      <c r="CV4" s="10" t="s">
        <v>104</v>
      </c>
      <c r="CW4" s="14" t="s">
        <v>105</v>
      </c>
      <c r="CX4" s="10" t="s">
        <v>106</v>
      </c>
      <c r="CY4" s="10" t="s">
        <v>107</v>
      </c>
      <c r="CZ4" s="10" t="s">
        <v>108</v>
      </c>
      <c r="DA4" s="14" t="s">
        <v>109</v>
      </c>
      <c r="DB4" s="7" t="s">
        <v>33</v>
      </c>
      <c r="DC4" s="7" t="s">
        <v>110</v>
      </c>
    </row>
    <row r="5" spans="1:107" x14ac:dyDescent="0.25">
      <c r="A5" s="18">
        <v>1</v>
      </c>
      <c r="B5" s="12" t="s">
        <v>177</v>
      </c>
      <c r="C5" s="12" t="s">
        <v>178</v>
      </c>
      <c r="D5" s="12" t="s">
        <v>346</v>
      </c>
      <c r="E5" s="12"/>
      <c r="F5" s="13">
        <v>1.3</v>
      </c>
      <c r="G5" s="13">
        <v>1.3</v>
      </c>
      <c r="H5" s="13">
        <v>1.3</v>
      </c>
      <c r="I5" s="13">
        <v>1.3</v>
      </c>
      <c r="J5" s="13">
        <v>1.3</v>
      </c>
      <c r="K5" s="13">
        <v>1.3</v>
      </c>
      <c r="L5" s="13">
        <v>1.3</v>
      </c>
      <c r="M5" s="13">
        <v>1</v>
      </c>
      <c r="N5" s="13">
        <v>1.3</v>
      </c>
      <c r="O5" s="13">
        <v>1.3</v>
      </c>
      <c r="P5" s="13">
        <v>1.3</v>
      </c>
      <c r="Q5" s="13">
        <v>1.3</v>
      </c>
      <c r="R5" s="13">
        <v>1.3</v>
      </c>
      <c r="S5" s="13">
        <v>1.3</v>
      </c>
      <c r="T5" s="13">
        <v>1.3</v>
      </c>
      <c r="U5" s="13">
        <v>1.3</v>
      </c>
      <c r="V5" s="13">
        <v>1.3</v>
      </c>
      <c r="W5" s="13">
        <v>1.3</v>
      </c>
      <c r="X5" s="13">
        <v>1.3</v>
      </c>
      <c r="Y5" s="13">
        <v>1.3</v>
      </c>
      <c r="Z5" s="13">
        <v>1.3</v>
      </c>
      <c r="AA5" s="13"/>
      <c r="AB5" s="13"/>
      <c r="AC5" s="13"/>
      <c r="AD5" s="13"/>
      <c r="AE5" s="13"/>
      <c r="AF5" s="13">
        <v>1.3</v>
      </c>
      <c r="AG5" s="13"/>
      <c r="AH5" s="13">
        <v>1</v>
      </c>
      <c r="AI5" s="13">
        <v>1.3</v>
      </c>
      <c r="AJ5" s="13">
        <v>1.3</v>
      </c>
      <c r="AK5" s="13">
        <v>1.3</v>
      </c>
      <c r="AL5" s="13"/>
      <c r="AM5" s="13">
        <v>1.3</v>
      </c>
      <c r="AN5" s="13">
        <v>1.3</v>
      </c>
      <c r="AO5" s="13">
        <v>1</v>
      </c>
      <c r="AP5" s="13">
        <v>1.3</v>
      </c>
      <c r="AQ5" s="13">
        <v>1.3</v>
      </c>
      <c r="AR5" s="13">
        <v>1.3</v>
      </c>
      <c r="AS5" s="13">
        <v>1.3</v>
      </c>
      <c r="AT5" s="13">
        <v>1.3</v>
      </c>
      <c r="AU5" s="13">
        <v>1.3</v>
      </c>
      <c r="AV5" s="13">
        <v>1.3</v>
      </c>
      <c r="AW5" s="13"/>
      <c r="AX5" s="13"/>
      <c r="AY5" s="13">
        <v>1.3</v>
      </c>
      <c r="AZ5" s="13">
        <v>1.3</v>
      </c>
      <c r="BA5" s="13">
        <v>1</v>
      </c>
      <c r="BB5" s="13">
        <v>1.3</v>
      </c>
      <c r="BC5" s="13"/>
      <c r="BD5" s="13">
        <v>1.3</v>
      </c>
      <c r="BE5" s="13">
        <v>1.3</v>
      </c>
      <c r="BF5" s="13"/>
      <c r="BG5" s="13">
        <v>1.3</v>
      </c>
      <c r="BH5" s="13"/>
      <c r="BI5" s="13"/>
      <c r="BJ5" s="13"/>
      <c r="BK5" s="13"/>
      <c r="BL5" s="13"/>
      <c r="BM5" s="13"/>
      <c r="BN5" s="13"/>
      <c r="BO5" s="13"/>
      <c r="BP5" s="13"/>
      <c r="BQ5" s="13">
        <v>1</v>
      </c>
      <c r="BR5" s="13"/>
      <c r="BS5" s="13"/>
      <c r="BT5" s="13"/>
      <c r="BU5" s="13"/>
      <c r="BV5" s="13"/>
      <c r="BW5" s="13">
        <v>1</v>
      </c>
      <c r="BX5" s="13"/>
      <c r="BY5" s="13">
        <v>1.3</v>
      </c>
      <c r="BZ5" s="13">
        <v>1</v>
      </c>
      <c r="CA5" s="13"/>
      <c r="CB5" s="13">
        <v>1</v>
      </c>
      <c r="CC5" s="13"/>
      <c r="CD5" s="13"/>
      <c r="CE5" s="13"/>
      <c r="CF5" s="13"/>
      <c r="CG5" s="13"/>
      <c r="CH5" s="13">
        <v>1</v>
      </c>
      <c r="CI5" s="13">
        <v>1</v>
      </c>
      <c r="CJ5" s="13"/>
      <c r="CK5" s="13">
        <v>1</v>
      </c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9">
        <f>SUMPRODUCT(Table46245[[#This Row],[1]:[100]],$F$2:$DA$2)</f>
        <v>1438.7048109646744</v>
      </c>
      <c r="DC5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18.600000000000001</v>
      </c>
    </row>
    <row r="6" spans="1:107" x14ac:dyDescent="0.25">
      <c r="A6" s="20">
        <v>2</v>
      </c>
      <c r="B6" s="12" t="s">
        <v>338</v>
      </c>
      <c r="C6" s="12" t="s">
        <v>339</v>
      </c>
      <c r="D6" s="12" t="s">
        <v>346</v>
      </c>
      <c r="E6" s="12" t="s">
        <v>348</v>
      </c>
      <c r="F6" s="13">
        <v>1.3</v>
      </c>
      <c r="G6" s="13">
        <v>1.3</v>
      </c>
      <c r="H6" s="13">
        <v>1.3</v>
      </c>
      <c r="I6" s="13">
        <v>1.3</v>
      </c>
      <c r="J6" s="13">
        <v>1.3</v>
      </c>
      <c r="K6" s="13">
        <v>1.3</v>
      </c>
      <c r="L6" s="13">
        <v>1.3</v>
      </c>
      <c r="M6" s="13"/>
      <c r="N6" s="13"/>
      <c r="O6" s="13">
        <v>1</v>
      </c>
      <c r="P6" s="13">
        <v>1</v>
      </c>
      <c r="Q6" s="13">
        <v>1.3</v>
      </c>
      <c r="R6" s="13">
        <v>1.3</v>
      </c>
      <c r="S6" s="13">
        <v>1.3</v>
      </c>
      <c r="T6" s="13">
        <v>1.3</v>
      </c>
      <c r="U6" s="13">
        <v>1.3</v>
      </c>
      <c r="V6" s="13">
        <v>1</v>
      </c>
      <c r="W6" s="13">
        <v>1.3</v>
      </c>
      <c r="X6" s="13">
        <v>1.3</v>
      </c>
      <c r="Y6" s="13"/>
      <c r="Z6" s="13">
        <v>1</v>
      </c>
      <c r="AA6" s="13"/>
      <c r="AB6" s="13"/>
      <c r="AC6" s="13"/>
      <c r="AD6" s="13"/>
      <c r="AE6" s="13"/>
      <c r="AF6" s="13">
        <v>1.3</v>
      </c>
      <c r="AG6" s="13"/>
      <c r="AH6" s="13">
        <v>1</v>
      </c>
      <c r="AI6" s="13">
        <v>1.3</v>
      </c>
      <c r="AJ6" s="13"/>
      <c r="AK6" s="13"/>
      <c r="AL6" s="13"/>
      <c r="AM6" s="13"/>
      <c r="AN6" s="13">
        <v>1</v>
      </c>
      <c r="AO6" s="13"/>
      <c r="AP6" s="13">
        <v>1</v>
      </c>
      <c r="AQ6" s="13"/>
      <c r="AR6" s="13">
        <v>1.3</v>
      </c>
      <c r="AS6" s="13">
        <v>1</v>
      </c>
      <c r="AT6" s="13">
        <v>1</v>
      </c>
      <c r="AU6" s="13">
        <v>1.3</v>
      </c>
      <c r="AV6" s="13">
        <v>1.3</v>
      </c>
      <c r="AW6" s="13">
        <v>1.3</v>
      </c>
      <c r="AX6" s="13"/>
      <c r="AY6" s="13">
        <v>1.3</v>
      </c>
      <c r="AZ6" s="13">
        <v>1.3</v>
      </c>
      <c r="BA6" s="13">
        <v>1</v>
      </c>
      <c r="BB6" s="13">
        <v>1.3</v>
      </c>
      <c r="BC6" s="13"/>
      <c r="BD6" s="13">
        <v>1.3</v>
      </c>
      <c r="BE6" s="13">
        <v>1.3</v>
      </c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>
        <v>1.3</v>
      </c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9">
        <f>SUMPRODUCT(Table46245[[#This Row],[1]:[100]],$F$2:$DA$2)</f>
        <v>572.57223520709852</v>
      </c>
      <c r="DC6" s="17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10.8</v>
      </c>
    </row>
    <row r="7" spans="1:107" x14ac:dyDescent="0.25">
      <c r="A7" s="18">
        <v>3</v>
      </c>
      <c r="B7" s="12" t="s">
        <v>246</v>
      </c>
      <c r="C7" s="12" t="s">
        <v>250</v>
      </c>
      <c r="D7" s="12" t="s">
        <v>346</v>
      </c>
      <c r="E7" s="12"/>
      <c r="F7" s="13">
        <v>1.3</v>
      </c>
      <c r="G7" s="13">
        <v>1.3</v>
      </c>
      <c r="H7" s="13">
        <v>1.3</v>
      </c>
      <c r="I7" s="13">
        <v>1.3</v>
      </c>
      <c r="J7" s="13">
        <v>1.3</v>
      </c>
      <c r="K7" s="13">
        <v>1.3</v>
      </c>
      <c r="L7" s="13">
        <v>1.3</v>
      </c>
      <c r="M7" s="13"/>
      <c r="N7" s="13">
        <v>1.3</v>
      </c>
      <c r="O7" s="13">
        <v>1.3</v>
      </c>
      <c r="P7" s="13">
        <v>1.3</v>
      </c>
      <c r="Q7" s="13">
        <v>1.3</v>
      </c>
      <c r="R7" s="13">
        <v>1.3</v>
      </c>
      <c r="S7" s="13">
        <v>1.3</v>
      </c>
      <c r="T7" s="13">
        <v>1.3</v>
      </c>
      <c r="U7" s="13">
        <v>1.3</v>
      </c>
      <c r="V7" s="13">
        <v>1</v>
      </c>
      <c r="W7" s="13">
        <v>1.3</v>
      </c>
      <c r="X7" s="13">
        <v>1.3</v>
      </c>
      <c r="Y7" s="13">
        <v>1</v>
      </c>
      <c r="Z7" s="13"/>
      <c r="AA7" s="13"/>
      <c r="AB7" s="13"/>
      <c r="AC7" s="13"/>
      <c r="AD7" s="13"/>
      <c r="AE7" s="13"/>
      <c r="AF7" s="13"/>
      <c r="AG7" s="13"/>
      <c r="AH7" s="13">
        <v>1</v>
      </c>
      <c r="AI7" s="13">
        <v>1.3</v>
      </c>
      <c r="AJ7" s="13"/>
      <c r="AK7" s="13">
        <v>1.3</v>
      </c>
      <c r="AL7" s="13"/>
      <c r="AM7" s="13"/>
      <c r="AN7" s="13">
        <v>1.3</v>
      </c>
      <c r="AO7" s="13"/>
      <c r="AP7" s="13">
        <v>1</v>
      </c>
      <c r="AQ7" s="13">
        <v>1</v>
      </c>
      <c r="AR7" s="13">
        <v>1</v>
      </c>
      <c r="AS7" s="13">
        <v>1.3</v>
      </c>
      <c r="AT7" s="13"/>
      <c r="AU7" s="13">
        <v>1.3</v>
      </c>
      <c r="AV7" s="13">
        <v>1.3</v>
      </c>
      <c r="AW7" s="13"/>
      <c r="AX7" s="13"/>
      <c r="AY7" s="13"/>
      <c r="AZ7" s="13"/>
      <c r="BA7" s="13"/>
      <c r="BB7" s="13"/>
      <c r="BC7" s="13"/>
      <c r="BD7" s="13">
        <v>1.3</v>
      </c>
      <c r="BE7" s="13">
        <v>1.3</v>
      </c>
      <c r="BF7" s="13"/>
      <c r="BG7" s="13"/>
      <c r="BH7" s="13"/>
      <c r="BI7" s="13"/>
      <c r="BJ7" s="13">
        <v>1</v>
      </c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>
        <v>1</v>
      </c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9">
        <f>SUMPRODUCT(Table46245[[#This Row],[1]:[100]],$F$2:$DA$2)</f>
        <v>556.23294949281285</v>
      </c>
      <c r="DC7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14.400000000000002</v>
      </c>
    </row>
    <row r="8" spans="1:107" outlineLevel="1" x14ac:dyDescent="0.25">
      <c r="A8" s="5">
        <v>4</v>
      </c>
      <c r="B8" s="3" t="s">
        <v>270</v>
      </c>
      <c r="C8" s="3" t="s">
        <v>302</v>
      </c>
      <c r="D8" s="3" t="s">
        <v>117</v>
      </c>
      <c r="E8" s="3" t="s">
        <v>231</v>
      </c>
      <c r="F8" s="6">
        <v>1.3</v>
      </c>
      <c r="G8" s="6">
        <v>1</v>
      </c>
      <c r="H8" s="6">
        <v>1.3</v>
      </c>
      <c r="I8" s="13">
        <v>1.3</v>
      </c>
      <c r="J8" s="6">
        <v>1.3</v>
      </c>
      <c r="K8" s="6"/>
      <c r="L8" s="6"/>
      <c r="M8" s="6"/>
      <c r="N8" s="13"/>
      <c r="O8" s="6"/>
      <c r="P8" s="6"/>
      <c r="Q8" s="6">
        <v>1.3</v>
      </c>
      <c r="R8" s="6">
        <v>1.3</v>
      </c>
      <c r="S8" s="6">
        <v>1.3</v>
      </c>
      <c r="T8" s="6">
        <v>1.3</v>
      </c>
      <c r="U8" s="6">
        <v>1.3</v>
      </c>
      <c r="V8" s="13">
        <v>1.3</v>
      </c>
      <c r="W8" s="13">
        <v>1.3</v>
      </c>
      <c r="X8" s="13">
        <v>1.3</v>
      </c>
      <c r="Y8" s="6"/>
      <c r="Z8" s="6">
        <v>1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13">
        <v>1</v>
      </c>
      <c r="AL8" s="6"/>
      <c r="AM8" s="6">
        <v>1.3</v>
      </c>
      <c r="AN8" s="13">
        <v>1.3</v>
      </c>
      <c r="AO8" s="6">
        <v>1.3</v>
      </c>
      <c r="AP8" s="6">
        <v>1.3</v>
      </c>
      <c r="AQ8" s="13"/>
      <c r="AR8" s="13">
        <v>1</v>
      </c>
      <c r="AS8" s="13">
        <v>1.3</v>
      </c>
      <c r="AT8" s="6"/>
      <c r="AU8" s="6">
        <v>1.3</v>
      </c>
      <c r="AV8" s="6">
        <v>1.3</v>
      </c>
      <c r="AW8" s="13"/>
      <c r="AX8" s="6"/>
      <c r="AY8" s="6">
        <v>1.3</v>
      </c>
      <c r="AZ8" s="6">
        <v>1</v>
      </c>
      <c r="BA8" s="6"/>
      <c r="BB8" s="6">
        <v>1</v>
      </c>
      <c r="BC8" s="6"/>
      <c r="BD8" s="13">
        <v>1</v>
      </c>
      <c r="BE8" s="6"/>
      <c r="BF8" s="13"/>
      <c r="BG8" s="6">
        <v>1</v>
      </c>
      <c r="BH8" s="6"/>
      <c r="BI8" s="13"/>
      <c r="BJ8" s="13"/>
      <c r="BK8" s="6"/>
      <c r="BL8" s="6"/>
      <c r="BM8" s="13"/>
      <c r="BN8" s="6"/>
      <c r="BO8" s="13"/>
      <c r="BP8" s="6"/>
      <c r="BQ8" s="13">
        <v>1</v>
      </c>
      <c r="BR8" s="6"/>
      <c r="BS8" s="13"/>
      <c r="BT8" s="6"/>
      <c r="BU8" s="6"/>
      <c r="BV8" s="13"/>
      <c r="BW8" s="6"/>
      <c r="BX8" s="13"/>
      <c r="BY8" s="13">
        <v>1.3</v>
      </c>
      <c r="BZ8" s="6">
        <v>1</v>
      </c>
      <c r="CA8" s="13"/>
      <c r="CB8" s="13"/>
      <c r="CC8" s="13"/>
      <c r="CD8" s="6"/>
      <c r="CE8" s="6"/>
      <c r="CF8" s="6"/>
      <c r="CG8" s="6"/>
      <c r="CH8" s="6"/>
      <c r="CI8" s="13"/>
      <c r="CJ8" s="6"/>
      <c r="CK8" s="6"/>
      <c r="CL8" s="6"/>
      <c r="CM8" s="6"/>
      <c r="CN8" s="13"/>
      <c r="CO8" s="6"/>
      <c r="CP8" s="6"/>
      <c r="CQ8" s="13"/>
      <c r="CR8" s="6"/>
      <c r="CS8" s="6"/>
      <c r="CT8" s="13"/>
      <c r="CU8" s="6"/>
      <c r="CV8" s="6"/>
      <c r="CW8" s="13"/>
      <c r="CX8" s="6"/>
      <c r="CY8" s="6"/>
      <c r="CZ8" s="6"/>
      <c r="DA8" s="13"/>
      <c r="DB8" s="8">
        <f>SUMPRODUCT(Table46245[[#This Row],[1]:[100]],$F$2:$DA$2)</f>
        <v>473.05011551392619</v>
      </c>
      <c r="DC8" s="17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13.100000000000001</v>
      </c>
    </row>
    <row r="9" spans="1:107" outlineLevel="1" x14ac:dyDescent="0.25">
      <c r="A9" s="4">
        <v>5</v>
      </c>
      <c r="B9" s="6" t="s">
        <v>124</v>
      </c>
      <c r="C9" s="6" t="s">
        <v>125</v>
      </c>
      <c r="D9" s="3" t="s">
        <v>346</v>
      </c>
      <c r="E9" s="3" t="s">
        <v>348</v>
      </c>
      <c r="F9" s="22">
        <v>1</v>
      </c>
      <c r="G9" s="22">
        <v>1.3</v>
      </c>
      <c r="H9" s="22">
        <v>1.3</v>
      </c>
      <c r="I9" s="22">
        <v>1.3</v>
      </c>
      <c r="J9" s="22">
        <v>1.3</v>
      </c>
      <c r="K9" s="22">
        <v>1.3</v>
      </c>
      <c r="L9" s="22">
        <v>1.3</v>
      </c>
      <c r="M9" s="22">
        <v>1.3</v>
      </c>
      <c r="N9" s="22">
        <v>1.3</v>
      </c>
      <c r="O9" s="22">
        <v>1.3</v>
      </c>
      <c r="P9" s="22">
        <v>1.3</v>
      </c>
      <c r="Q9" s="22">
        <v>1.3</v>
      </c>
      <c r="R9" s="22">
        <v>1.3</v>
      </c>
      <c r="S9" s="22">
        <v>1.3</v>
      </c>
      <c r="T9" s="22">
        <v>1.3</v>
      </c>
      <c r="U9" s="22">
        <v>1.3</v>
      </c>
      <c r="V9" s="22">
        <v>1.3</v>
      </c>
      <c r="W9" s="22">
        <v>1.3</v>
      </c>
      <c r="X9" s="22">
        <v>1.3</v>
      </c>
      <c r="Y9" s="22"/>
      <c r="Z9" s="22">
        <v>1.3</v>
      </c>
      <c r="AA9" s="22"/>
      <c r="AB9" s="22"/>
      <c r="AC9" s="22"/>
      <c r="AD9" s="22"/>
      <c r="AE9" s="22"/>
      <c r="AF9" s="22">
        <v>1</v>
      </c>
      <c r="AG9" s="22"/>
      <c r="AH9" s="22"/>
      <c r="AI9" s="22"/>
      <c r="AJ9" s="22"/>
      <c r="AK9" s="22"/>
      <c r="AL9" s="22"/>
      <c r="AM9" s="22">
        <v>1</v>
      </c>
      <c r="AN9" s="22">
        <v>1.3</v>
      </c>
      <c r="AO9" s="22"/>
      <c r="AP9" s="22">
        <v>1.3</v>
      </c>
      <c r="AQ9" s="22"/>
      <c r="AR9" s="22">
        <v>1.3</v>
      </c>
      <c r="AS9" s="22">
        <v>1.3</v>
      </c>
      <c r="AT9" s="22"/>
      <c r="AU9" s="22">
        <v>1.3</v>
      </c>
      <c r="AV9" s="22">
        <v>1.3</v>
      </c>
      <c r="AW9" s="22"/>
      <c r="AX9" s="22"/>
      <c r="AY9" s="22">
        <v>1</v>
      </c>
      <c r="AZ9" s="22">
        <v>1.3</v>
      </c>
      <c r="BA9" s="22"/>
      <c r="BB9" s="22">
        <v>1</v>
      </c>
      <c r="BC9" s="22"/>
      <c r="BD9" s="22">
        <v>1</v>
      </c>
      <c r="BE9" s="22">
        <v>1.3</v>
      </c>
      <c r="BF9" s="22"/>
      <c r="BG9" s="22">
        <v>1.3</v>
      </c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>
        <v>1</v>
      </c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8">
        <f>SUMPRODUCT(Table46245[[#This Row],[1]:[100]],$F$2:$DA$2)</f>
        <v>456.71671572657903</v>
      </c>
      <c r="DC9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12.4</v>
      </c>
    </row>
    <row r="10" spans="1:107" outlineLevel="1" x14ac:dyDescent="0.25">
      <c r="A10" s="5">
        <v>7</v>
      </c>
      <c r="B10" s="6" t="s">
        <v>124</v>
      </c>
      <c r="C10" s="6" t="s">
        <v>128</v>
      </c>
      <c r="D10" s="3" t="s">
        <v>129</v>
      </c>
      <c r="E10" s="6" t="s">
        <v>130</v>
      </c>
      <c r="F10" s="22">
        <v>1.3</v>
      </c>
      <c r="G10" s="22">
        <v>1.3</v>
      </c>
      <c r="H10" s="22">
        <v>1.3</v>
      </c>
      <c r="I10" s="22">
        <v>1.3</v>
      </c>
      <c r="J10" s="22">
        <v>1.3</v>
      </c>
      <c r="K10" s="22">
        <v>1.3</v>
      </c>
      <c r="L10" s="22">
        <v>1.3</v>
      </c>
      <c r="M10" s="22">
        <v>1.3</v>
      </c>
      <c r="N10" s="22">
        <v>1.3</v>
      </c>
      <c r="O10" s="22">
        <v>1.3</v>
      </c>
      <c r="P10" s="22">
        <v>1.3</v>
      </c>
      <c r="Q10" s="22">
        <v>1.3</v>
      </c>
      <c r="R10" s="22">
        <v>1</v>
      </c>
      <c r="S10" s="22">
        <v>1.3</v>
      </c>
      <c r="T10" s="22">
        <v>1.3</v>
      </c>
      <c r="U10" s="22">
        <v>1.3</v>
      </c>
      <c r="V10" s="22">
        <v>1.3</v>
      </c>
      <c r="W10" s="22">
        <v>1.3</v>
      </c>
      <c r="X10" s="22">
        <v>1.3</v>
      </c>
      <c r="Y10" s="22"/>
      <c r="Z10" s="22">
        <v>1.3</v>
      </c>
      <c r="AA10" s="22"/>
      <c r="AB10" s="22"/>
      <c r="AC10" s="22"/>
      <c r="AD10" s="22"/>
      <c r="AE10" s="22"/>
      <c r="AF10" s="22"/>
      <c r="AG10" s="22"/>
      <c r="AH10" s="22"/>
      <c r="AI10" s="22">
        <v>1.3</v>
      </c>
      <c r="AJ10" s="22"/>
      <c r="AK10" s="22"/>
      <c r="AL10" s="22"/>
      <c r="AM10" s="22"/>
      <c r="AN10" s="22">
        <v>1</v>
      </c>
      <c r="AO10" s="22">
        <v>1</v>
      </c>
      <c r="AP10" s="22">
        <v>1</v>
      </c>
      <c r="AQ10" s="22">
        <v>1</v>
      </c>
      <c r="AR10" s="22">
        <v>1</v>
      </c>
      <c r="AS10" s="22">
        <v>1.3</v>
      </c>
      <c r="AT10" s="22">
        <v>1</v>
      </c>
      <c r="AU10" s="22">
        <v>1.3</v>
      </c>
      <c r="AV10" s="22">
        <v>1.3</v>
      </c>
      <c r="AW10" s="22"/>
      <c r="AX10" s="22"/>
      <c r="AY10" s="22"/>
      <c r="AZ10" s="22"/>
      <c r="BA10" s="22"/>
      <c r="BB10" s="22">
        <v>1.3</v>
      </c>
      <c r="BC10" s="22"/>
      <c r="BD10" s="22"/>
      <c r="BE10" s="22">
        <v>1.3</v>
      </c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8">
        <f>SUMPRODUCT(Table46245[[#This Row],[1]:[100]],$F$2:$DA$2)</f>
        <v>379.17603581825205</v>
      </c>
      <c r="DC10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10.8</v>
      </c>
    </row>
    <row r="11" spans="1:107" outlineLevel="1" x14ac:dyDescent="0.25">
      <c r="A11" s="5">
        <v>6</v>
      </c>
      <c r="B11" s="6" t="s">
        <v>278</v>
      </c>
      <c r="C11" s="6" t="s">
        <v>279</v>
      </c>
      <c r="D11" s="3" t="s">
        <v>346</v>
      </c>
      <c r="E11" s="6" t="s">
        <v>280</v>
      </c>
      <c r="F11" s="6">
        <v>1.3</v>
      </c>
      <c r="G11" s="6">
        <v>1.3</v>
      </c>
      <c r="H11" s="6">
        <v>1.3</v>
      </c>
      <c r="I11" s="6">
        <v>1.3</v>
      </c>
      <c r="J11" s="6">
        <v>1.3</v>
      </c>
      <c r="K11" s="6">
        <v>1.3</v>
      </c>
      <c r="L11" s="6">
        <v>1.3</v>
      </c>
      <c r="M11" s="6"/>
      <c r="N11" s="6"/>
      <c r="O11" s="6">
        <v>1.3</v>
      </c>
      <c r="P11" s="6"/>
      <c r="Q11" s="6">
        <v>1.3</v>
      </c>
      <c r="R11" s="6">
        <v>1</v>
      </c>
      <c r="S11" s="6">
        <v>1.3</v>
      </c>
      <c r="T11" s="6">
        <v>1.3</v>
      </c>
      <c r="U11" s="6">
        <v>1.3</v>
      </c>
      <c r="V11" s="6">
        <v>1.3</v>
      </c>
      <c r="W11" s="6">
        <v>1.3</v>
      </c>
      <c r="X11" s="6">
        <v>1.3</v>
      </c>
      <c r="Y11" s="6"/>
      <c r="Z11" s="6"/>
      <c r="AA11" s="6"/>
      <c r="AB11" s="6"/>
      <c r="AC11" s="6"/>
      <c r="AD11" s="6"/>
      <c r="AE11" s="6"/>
      <c r="AF11" s="6">
        <v>1</v>
      </c>
      <c r="AG11" s="6"/>
      <c r="AH11" s="6">
        <v>1</v>
      </c>
      <c r="AI11" s="6">
        <v>1.3</v>
      </c>
      <c r="AJ11" s="6"/>
      <c r="AK11" s="6">
        <v>1.3</v>
      </c>
      <c r="AL11" s="6"/>
      <c r="AM11" s="6">
        <v>1.3</v>
      </c>
      <c r="AN11" s="6">
        <v>1.3</v>
      </c>
      <c r="AO11" s="6"/>
      <c r="AP11" s="6"/>
      <c r="AQ11" s="6"/>
      <c r="AR11" s="6"/>
      <c r="AS11" s="6">
        <v>1.3</v>
      </c>
      <c r="AT11" s="6"/>
      <c r="AU11" s="6">
        <v>1.3</v>
      </c>
      <c r="AV11" s="6">
        <v>1.3</v>
      </c>
      <c r="AW11" s="6"/>
      <c r="AX11" s="6"/>
      <c r="AY11" s="6">
        <v>1.3</v>
      </c>
      <c r="AZ11" s="6">
        <v>1.3</v>
      </c>
      <c r="BA11" s="6"/>
      <c r="BB11" s="6">
        <v>1.3</v>
      </c>
      <c r="BC11" s="6"/>
      <c r="BD11" s="6">
        <v>1.3</v>
      </c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>
        <v>1</v>
      </c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8">
        <f>SUMPRODUCT(Table46245[[#This Row],[1]:[100]],$F$2:$DA$2)</f>
        <v>350.37192326413953</v>
      </c>
      <c r="DC11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11.4</v>
      </c>
    </row>
    <row r="12" spans="1:107" outlineLevel="1" x14ac:dyDescent="0.25">
      <c r="A12" s="4">
        <v>8</v>
      </c>
      <c r="B12" s="6" t="s">
        <v>241</v>
      </c>
      <c r="C12" s="6" t="s">
        <v>242</v>
      </c>
      <c r="D12" s="3" t="s">
        <v>317</v>
      </c>
      <c r="E12" s="6" t="s">
        <v>243</v>
      </c>
      <c r="F12" s="22">
        <v>1.3</v>
      </c>
      <c r="G12" s="22">
        <v>1.3</v>
      </c>
      <c r="H12" s="22">
        <v>1.3</v>
      </c>
      <c r="I12" s="22">
        <v>1.3</v>
      </c>
      <c r="J12" s="22">
        <v>1.3</v>
      </c>
      <c r="K12" s="22">
        <v>1.3</v>
      </c>
      <c r="L12" s="22">
        <v>1</v>
      </c>
      <c r="M12" s="22"/>
      <c r="N12" s="22"/>
      <c r="O12" s="22">
        <v>1</v>
      </c>
      <c r="P12" s="22">
        <v>1.3</v>
      </c>
      <c r="Q12" s="22">
        <v>1.3</v>
      </c>
      <c r="R12" s="22">
        <v>1.3</v>
      </c>
      <c r="S12" s="22">
        <v>1.3</v>
      </c>
      <c r="T12" s="22">
        <v>1.3</v>
      </c>
      <c r="U12" s="22">
        <v>1.3</v>
      </c>
      <c r="V12" s="22">
        <v>1.3</v>
      </c>
      <c r="W12" s="22">
        <v>1.3</v>
      </c>
      <c r="X12" s="22">
        <v>1.3</v>
      </c>
      <c r="Y12" s="22"/>
      <c r="Z12" s="22">
        <v>1.3</v>
      </c>
      <c r="AA12" s="22"/>
      <c r="AB12" s="22"/>
      <c r="AC12" s="22"/>
      <c r="AD12" s="22"/>
      <c r="AE12" s="22"/>
      <c r="AF12" s="22"/>
      <c r="AG12" s="22">
        <v>1</v>
      </c>
      <c r="AH12" s="22"/>
      <c r="AI12" s="22">
        <v>1.3</v>
      </c>
      <c r="AJ12" s="22"/>
      <c r="AK12" s="22"/>
      <c r="AL12" s="22"/>
      <c r="AM12" s="22"/>
      <c r="AN12" s="22"/>
      <c r="AO12" s="22"/>
      <c r="AP12" s="22"/>
      <c r="AQ12" s="22"/>
      <c r="AR12" s="22">
        <v>1</v>
      </c>
      <c r="AS12" s="22">
        <v>1.3</v>
      </c>
      <c r="AT12" s="22"/>
      <c r="AU12" s="22"/>
      <c r="AV12" s="22">
        <v>1.3</v>
      </c>
      <c r="AW12" s="22"/>
      <c r="AX12" s="22"/>
      <c r="AY12" s="22"/>
      <c r="AZ12" s="22"/>
      <c r="BA12" s="22"/>
      <c r="BB12" s="22"/>
      <c r="BC12" s="22"/>
      <c r="BD12" s="22">
        <v>1</v>
      </c>
      <c r="BE12" s="22">
        <v>1.3</v>
      </c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8">
        <f>SUMPRODUCT(Table46245[[#This Row],[1]:[100]],$F$2:$DA$2)</f>
        <v>273.70540905079872</v>
      </c>
      <c r="DC12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8.5</v>
      </c>
    </row>
    <row r="13" spans="1:107" outlineLevel="1" x14ac:dyDescent="0.25">
      <c r="A13" s="5">
        <v>9</v>
      </c>
      <c r="B13" s="6" t="s">
        <v>298</v>
      </c>
      <c r="C13" s="6" t="s">
        <v>299</v>
      </c>
      <c r="D13" s="3" t="s">
        <v>317</v>
      </c>
      <c r="E13" s="3" t="s">
        <v>300</v>
      </c>
      <c r="F13" s="6"/>
      <c r="G13" s="6">
        <v>1.3</v>
      </c>
      <c r="H13" s="6">
        <v>1.3</v>
      </c>
      <c r="I13" s="6">
        <v>1.3</v>
      </c>
      <c r="J13" s="6">
        <v>1.3</v>
      </c>
      <c r="K13" s="6">
        <v>1.3</v>
      </c>
      <c r="L13" s="6">
        <v>1</v>
      </c>
      <c r="M13" s="6"/>
      <c r="N13" s="6"/>
      <c r="O13" s="6">
        <v>1.3</v>
      </c>
      <c r="P13" s="6"/>
      <c r="Q13" s="6">
        <v>1.3</v>
      </c>
      <c r="R13" s="6"/>
      <c r="S13" s="6"/>
      <c r="T13" s="6">
        <v>1.3</v>
      </c>
      <c r="U13" s="6">
        <v>1.3</v>
      </c>
      <c r="V13" s="6">
        <v>1.3</v>
      </c>
      <c r="W13" s="6">
        <v>1.3</v>
      </c>
      <c r="X13" s="6">
        <v>1.3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v>1.3</v>
      </c>
      <c r="AJ13" s="6"/>
      <c r="AK13" s="6"/>
      <c r="AL13" s="6"/>
      <c r="AM13" s="6"/>
      <c r="AN13" s="6"/>
      <c r="AO13" s="6"/>
      <c r="AP13" s="6"/>
      <c r="AQ13" s="6"/>
      <c r="AR13" s="6"/>
      <c r="AS13" s="6">
        <v>1.3</v>
      </c>
      <c r="AT13" s="6"/>
      <c r="AU13" s="6">
        <v>1</v>
      </c>
      <c r="AV13" s="6">
        <v>1.3</v>
      </c>
      <c r="AW13" s="6"/>
      <c r="AX13" s="6"/>
      <c r="AY13" s="6"/>
      <c r="AZ13" s="6"/>
      <c r="BA13" s="6"/>
      <c r="BB13" s="6"/>
      <c r="BC13" s="6"/>
      <c r="BD13" s="6">
        <v>1.3</v>
      </c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>
        <v>1.3</v>
      </c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8">
        <f>SUMPRODUCT(Table46245[[#This Row],[1]:[100]],$F$2:$DA$2)</f>
        <v>247.50490612235461</v>
      </c>
      <c r="DC13" s="17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7.8</v>
      </c>
    </row>
    <row r="14" spans="1:107" outlineLevel="1" x14ac:dyDescent="0.25">
      <c r="A14" s="28">
        <v>10</v>
      </c>
      <c r="B14" s="25" t="s">
        <v>210</v>
      </c>
      <c r="C14" s="25" t="s">
        <v>211</v>
      </c>
      <c r="D14" s="25" t="s">
        <v>182</v>
      </c>
      <c r="E14" s="25"/>
      <c r="F14" s="22">
        <v>1.3</v>
      </c>
      <c r="G14" s="22">
        <v>1.3</v>
      </c>
      <c r="H14" s="22">
        <v>1.3</v>
      </c>
      <c r="I14" s="22">
        <v>1.3</v>
      </c>
      <c r="J14" s="22">
        <v>1.3</v>
      </c>
      <c r="K14" s="22">
        <v>1.3</v>
      </c>
      <c r="L14" s="22">
        <v>1.3</v>
      </c>
      <c r="M14" s="22">
        <v>1</v>
      </c>
      <c r="N14" s="22">
        <v>1</v>
      </c>
      <c r="O14" s="22">
        <v>1.3</v>
      </c>
      <c r="P14" s="22">
        <v>1</v>
      </c>
      <c r="Q14" s="22">
        <v>1.3</v>
      </c>
      <c r="R14" s="22">
        <v>1.3</v>
      </c>
      <c r="S14" s="22">
        <v>1</v>
      </c>
      <c r="T14" s="22">
        <v>1.3</v>
      </c>
      <c r="U14" s="22">
        <v>1.3</v>
      </c>
      <c r="V14" s="22">
        <v>1.3</v>
      </c>
      <c r="W14" s="22">
        <v>1.3</v>
      </c>
      <c r="X14" s="22">
        <v>1.3</v>
      </c>
      <c r="Y14" s="22"/>
      <c r="Z14" s="22">
        <v>1</v>
      </c>
      <c r="AA14" s="22"/>
      <c r="AB14" s="22"/>
      <c r="AC14" s="22"/>
      <c r="AD14" s="22"/>
      <c r="AE14" s="22"/>
      <c r="AF14" s="22"/>
      <c r="AG14" s="22"/>
      <c r="AH14" s="22"/>
      <c r="AI14" s="22">
        <v>1.3</v>
      </c>
      <c r="AJ14" s="22"/>
      <c r="AK14" s="22"/>
      <c r="AL14" s="22"/>
      <c r="AM14" s="22"/>
      <c r="AN14" s="22">
        <v>1.3</v>
      </c>
      <c r="AO14" s="22"/>
      <c r="AP14" s="22"/>
      <c r="AQ14" s="22"/>
      <c r="AR14" s="22">
        <v>1</v>
      </c>
      <c r="AS14" s="22">
        <v>1.3</v>
      </c>
      <c r="AT14" s="22"/>
      <c r="AU14" s="22"/>
      <c r="AV14" s="22">
        <v>1</v>
      </c>
      <c r="AW14" s="22"/>
      <c r="AX14" s="22"/>
      <c r="AY14" s="22"/>
      <c r="AZ14" s="22"/>
      <c r="BA14" s="22"/>
      <c r="BB14" s="22"/>
      <c r="BC14" s="22"/>
      <c r="BD14" s="22">
        <v>1.3</v>
      </c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3">
        <f>SUMPRODUCT(Table46245[[#This Row],[1]:[100]],$F$2:$DA$2)</f>
        <v>211.79616568838199</v>
      </c>
      <c r="DC14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11.100000000000001</v>
      </c>
    </row>
    <row r="15" spans="1:107" outlineLevel="1" x14ac:dyDescent="0.25">
      <c r="A15" s="27">
        <v>11</v>
      </c>
      <c r="B15" s="25" t="s">
        <v>244</v>
      </c>
      <c r="C15" s="25" t="s">
        <v>245</v>
      </c>
      <c r="D15" s="25" t="s">
        <v>317</v>
      </c>
      <c r="E15" s="29" t="s">
        <v>243</v>
      </c>
      <c r="F15" s="22">
        <v>1.3</v>
      </c>
      <c r="G15" s="22">
        <v>1.3</v>
      </c>
      <c r="H15" s="22">
        <v>1.3</v>
      </c>
      <c r="I15" s="22">
        <v>1.3</v>
      </c>
      <c r="J15" s="22">
        <v>1.3</v>
      </c>
      <c r="K15" s="22">
        <v>1.3</v>
      </c>
      <c r="L15" s="22">
        <v>1.3</v>
      </c>
      <c r="M15" s="22"/>
      <c r="N15" s="22"/>
      <c r="O15" s="22">
        <v>1.3</v>
      </c>
      <c r="P15" s="22">
        <v>1</v>
      </c>
      <c r="Q15" s="22">
        <v>1.3</v>
      </c>
      <c r="R15" s="22">
        <v>1.3</v>
      </c>
      <c r="S15" s="22">
        <v>1.3</v>
      </c>
      <c r="T15" s="22">
        <v>1.3</v>
      </c>
      <c r="U15" s="22">
        <v>1.3</v>
      </c>
      <c r="V15" s="22">
        <v>1.3</v>
      </c>
      <c r="W15" s="22">
        <v>1.3</v>
      </c>
      <c r="X15" s="22">
        <v>1.3</v>
      </c>
      <c r="Y15" s="22"/>
      <c r="Z15" s="22">
        <v>1.3</v>
      </c>
      <c r="AA15" s="22"/>
      <c r="AB15" s="22"/>
      <c r="AC15" s="22"/>
      <c r="AD15" s="22"/>
      <c r="AE15" s="22"/>
      <c r="AF15" s="22"/>
      <c r="AG15" s="22"/>
      <c r="AH15" s="22"/>
      <c r="AI15" s="22">
        <v>1</v>
      </c>
      <c r="AJ15" s="22"/>
      <c r="AK15" s="22"/>
      <c r="AL15" s="22"/>
      <c r="AM15" s="22"/>
      <c r="AN15" s="22"/>
      <c r="AO15" s="22"/>
      <c r="AP15" s="22"/>
      <c r="AQ15" s="22"/>
      <c r="AR15" s="22"/>
      <c r="AS15" s="22">
        <v>1</v>
      </c>
      <c r="AT15" s="22"/>
      <c r="AU15" s="22"/>
      <c r="AV15" s="22">
        <v>1.3</v>
      </c>
      <c r="AW15" s="22"/>
      <c r="AX15" s="22"/>
      <c r="AY15" s="22"/>
      <c r="AZ15" s="22"/>
      <c r="BA15" s="22"/>
      <c r="BB15" s="22"/>
      <c r="BC15" s="22"/>
      <c r="BD15" s="22">
        <v>1.3</v>
      </c>
      <c r="BE15" s="22">
        <v>1</v>
      </c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>
        <v>1</v>
      </c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3">
        <f>SUMPRODUCT(Table46245[[#This Row],[1]:[100]],$F$2:$DA$2)</f>
        <v>210.81844732831073</v>
      </c>
      <c r="DC15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8.5</v>
      </c>
    </row>
    <row r="16" spans="1:107" outlineLevel="1" x14ac:dyDescent="0.25">
      <c r="A16" s="28">
        <v>12</v>
      </c>
      <c r="B16" s="25" t="s">
        <v>115</v>
      </c>
      <c r="C16" s="25" t="s">
        <v>116</v>
      </c>
      <c r="D16" s="25" t="s">
        <v>117</v>
      </c>
      <c r="E16" s="25"/>
      <c r="F16" s="22">
        <v>1.3</v>
      </c>
      <c r="G16" s="22">
        <v>1.3</v>
      </c>
      <c r="H16" s="22">
        <v>1.3</v>
      </c>
      <c r="I16" s="22">
        <v>1.3</v>
      </c>
      <c r="J16" s="22">
        <v>1.3</v>
      </c>
      <c r="K16" s="22">
        <v>1.3</v>
      </c>
      <c r="L16" s="22">
        <v>1.3</v>
      </c>
      <c r="M16" s="22"/>
      <c r="N16" s="22"/>
      <c r="O16" s="22"/>
      <c r="P16" s="22">
        <v>1.3</v>
      </c>
      <c r="Q16" s="22">
        <v>1.3</v>
      </c>
      <c r="R16" s="22"/>
      <c r="S16" s="22">
        <v>1.3</v>
      </c>
      <c r="T16" s="22">
        <v>1.3</v>
      </c>
      <c r="U16" s="22">
        <v>1.3</v>
      </c>
      <c r="V16" s="22">
        <v>1.3</v>
      </c>
      <c r="W16" s="22">
        <v>1.3</v>
      </c>
      <c r="X16" s="22">
        <v>1.3</v>
      </c>
      <c r="Y16" s="22"/>
      <c r="Z16" s="22">
        <v>1</v>
      </c>
      <c r="AA16" s="22"/>
      <c r="AB16" s="22"/>
      <c r="AC16" s="22"/>
      <c r="AD16" s="22"/>
      <c r="AE16" s="22"/>
      <c r="AF16" s="22"/>
      <c r="AG16" s="22"/>
      <c r="AH16" s="22">
        <v>1.3</v>
      </c>
      <c r="AI16" s="22">
        <v>1.3</v>
      </c>
      <c r="AJ16" s="22"/>
      <c r="AK16" s="22">
        <v>1</v>
      </c>
      <c r="AL16" s="22"/>
      <c r="AM16" s="22"/>
      <c r="AN16" s="22"/>
      <c r="AO16" s="22"/>
      <c r="AP16" s="22"/>
      <c r="AQ16" s="22"/>
      <c r="AR16" s="22">
        <v>1.3</v>
      </c>
      <c r="AS16" s="22">
        <v>1.3</v>
      </c>
      <c r="AT16" s="22"/>
      <c r="AU16" s="22">
        <v>1.3</v>
      </c>
      <c r="AV16" s="22">
        <v>1.3</v>
      </c>
      <c r="AW16" s="22"/>
      <c r="AX16" s="22"/>
      <c r="AY16" s="22"/>
      <c r="AZ16" s="22">
        <v>1</v>
      </c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3">
        <f>SUMPRODUCT(Table46245[[#This Row],[1]:[100]],$F$2:$DA$2)</f>
        <v>203.26933222772499</v>
      </c>
      <c r="DC16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8.8000000000000007</v>
      </c>
    </row>
    <row r="17" spans="1:107" outlineLevel="1" x14ac:dyDescent="0.25">
      <c r="A17" s="28">
        <v>13</v>
      </c>
      <c r="B17" s="25" t="s">
        <v>247</v>
      </c>
      <c r="C17" s="25" t="s">
        <v>248</v>
      </c>
      <c r="D17" s="25" t="s">
        <v>346</v>
      </c>
      <c r="E17" s="25"/>
      <c r="F17" s="25">
        <v>1.3</v>
      </c>
      <c r="G17" s="25">
        <v>1.3</v>
      </c>
      <c r="H17" s="25">
        <v>1.3</v>
      </c>
      <c r="I17" s="25">
        <v>1.3</v>
      </c>
      <c r="J17" s="25">
        <v>1.3</v>
      </c>
      <c r="K17" s="25">
        <v>1.3</v>
      </c>
      <c r="L17" s="25">
        <v>1.3</v>
      </c>
      <c r="M17" s="25"/>
      <c r="N17" s="25"/>
      <c r="O17" s="25">
        <v>1.3</v>
      </c>
      <c r="P17" s="25">
        <v>1</v>
      </c>
      <c r="Q17" s="22">
        <v>1.3</v>
      </c>
      <c r="R17" s="22">
        <v>1.3</v>
      </c>
      <c r="S17" s="22">
        <v>1.3</v>
      </c>
      <c r="T17" s="22">
        <v>1.3</v>
      </c>
      <c r="U17" s="22">
        <v>1.3</v>
      </c>
      <c r="V17" s="22">
        <v>1.3</v>
      </c>
      <c r="W17" s="22">
        <v>1.3</v>
      </c>
      <c r="X17" s="22">
        <v>1.3</v>
      </c>
      <c r="Y17" s="22"/>
      <c r="Z17" s="22">
        <v>1.3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>
        <v>1</v>
      </c>
      <c r="AL17" s="22"/>
      <c r="AM17" s="22"/>
      <c r="AN17" s="22">
        <v>1.3</v>
      </c>
      <c r="AO17" s="22"/>
      <c r="AP17" s="22"/>
      <c r="AQ17" s="22"/>
      <c r="AR17" s="22">
        <v>1.3</v>
      </c>
      <c r="AS17" s="22">
        <v>1.3</v>
      </c>
      <c r="AT17" s="22"/>
      <c r="AU17" s="22">
        <v>1</v>
      </c>
      <c r="AV17" s="22">
        <v>1</v>
      </c>
      <c r="AW17" s="22"/>
      <c r="AX17" s="22"/>
      <c r="AY17" s="22"/>
      <c r="AZ17" s="22">
        <v>1</v>
      </c>
      <c r="BA17" s="22"/>
      <c r="BB17" s="22"/>
      <c r="BC17" s="22"/>
      <c r="BD17" s="22">
        <v>1</v>
      </c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3">
        <f>SUMPRODUCT(Table46245[[#This Row],[1]:[100]],$F$2:$DA$2)</f>
        <v>200.71671572657905</v>
      </c>
      <c r="DC17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11.100000000000001</v>
      </c>
    </row>
    <row r="18" spans="1:107" outlineLevel="1" x14ac:dyDescent="0.25">
      <c r="A18" s="27">
        <v>14</v>
      </c>
      <c r="B18" s="22" t="s">
        <v>270</v>
      </c>
      <c r="C18" s="22" t="s">
        <v>271</v>
      </c>
      <c r="D18" s="22" t="s">
        <v>346</v>
      </c>
      <c r="E18" s="22" t="s">
        <v>149</v>
      </c>
      <c r="F18" s="22">
        <v>1.3</v>
      </c>
      <c r="G18" s="22">
        <v>1.3</v>
      </c>
      <c r="H18" s="22">
        <v>1.3</v>
      </c>
      <c r="I18" s="22">
        <v>1.3</v>
      </c>
      <c r="J18" s="22">
        <v>1.3</v>
      </c>
      <c r="K18" s="22"/>
      <c r="L18" s="22"/>
      <c r="M18" s="22"/>
      <c r="N18" s="22"/>
      <c r="O18" s="22">
        <v>1.3</v>
      </c>
      <c r="P18" s="22"/>
      <c r="Q18" s="22">
        <v>1.3</v>
      </c>
      <c r="R18" s="22">
        <v>1.3</v>
      </c>
      <c r="S18" s="22">
        <v>1.3</v>
      </c>
      <c r="T18" s="22">
        <v>1.3</v>
      </c>
      <c r="U18" s="22">
        <v>1.3</v>
      </c>
      <c r="V18" s="22">
        <v>1.3</v>
      </c>
      <c r="W18" s="22">
        <v>1.3</v>
      </c>
      <c r="X18" s="22">
        <v>1.3</v>
      </c>
      <c r="Y18" s="22"/>
      <c r="Z18" s="22">
        <v>1</v>
      </c>
      <c r="AA18" s="22"/>
      <c r="AB18" s="22"/>
      <c r="AC18" s="22"/>
      <c r="AD18" s="22"/>
      <c r="AE18" s="22"/>
      <c r="AF18" s="22"/>
      <c r="AG18" s="22"/>
      <c r="AH18" s="22"/>
      <c r="AI18" s="22">
        <v>1.3</v>
      </c>
      <c r="AJ18" s="22"/>
      <c r="AK18" s="22"/>
      <c r="AL18" s="22"/>
      <c r="AM18" s="22">
        <v>1.3</v>
      </c>
      <c r="AN18" s="22"/>
      <c r="AO18" s="22"/>
      <c r="AP18" s="22"/>
      <c r="AQ18" s="22"/>
      <c r="AR18" s="22"/>
      <c r="AS18" s="22">
        <v>1.3</v>
      </c>
      <c r="AT18" s="22"/>
      <c r="AU18" s="22"/>
      <c r="AV18" s="22">
        <v>1.3</v>
      </c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3">
        <f>SUMPRODUCT(Table46245[[#This Row],[1]:[100]],$F$2:$DA$2)</f>
        <v>142.08745317626392</v>
      </c>
      <c r="DC18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6.5</v>
      </c>
    </row>
    <row r="19" spans="1:107" outlineLevel="1" x14ac:dyDescent="0.25">
      <c r="A19" s="28">
        <v>15</v>
      </c>
      <c r="B19" s="22" t="s">
        <v>261</v>
      </c>
      <c r="C19" s="22" t="s">
        <v>262</v>
      </c>
      <c r="D19" s="22" t="s">
        <v>346</v>
      </c>
      <c r="E19" s="22"/>
      <c r="F19" s="22">
        <v>1.3</v>
      </c>
      <c r="G19" s="22">
        <v>1.3</v>
      </c>
      <c r="H19" s="22">
        <v>1.3</v>
      </c>
      <c r="I19" s="22">
        <v>1.3</v>
      </c>
      <c r="J19" s="22">
        <v>1.3</v>
      </c>
      <c r="K19" s="22">
        <v>1.3</v>
      </c>
      <c r="L19" s="22">
        <v>1.3</v>
      </c>
      <c r="M19" s="22"/>
      <c r="N19" s="22"/>
      <c r="O19" s="22"/>
      <c r="P19" s="22">
        <v>1</v>
      </c>
      <c r="Q19" s="22"/>
      <c r="R19" s="22">
        <v>1</v>
      </c>
      <c r="S19" s="22"/>
      <c r="T19" s="22">
        <v>1.3</v>
      </c>
      <c r="U19" s="22">
        <v>1.3</v>
      </c>
      <c r="V19" s="22">
        <v>1.3</v>
      </c>
      <c r="W19" s="22">
        <v>1.3</v>
      </c>
      <c r="X19" s="22">
        <v>1.3</v>
      </c>
      <c r="Y19" s="22"/>
      <c r="Z19" s="22">
        <v>1</v>
      </c>
      <c r="AA19" s="22"/>
      <c r="AB19" s="22"/>
      <c r="AC19" s="22"/>
      <c r="AD19" s="22"/>
      <c r="AE19" s="22"/>
      <c r="AF19" s="22"/>
      <c r="AG19" s="22"/>
      <c r="AH19" s="22"/>
      <c r="AI19" s="22">
        <v>1.3</v>
      </c>
      <c r="AJ19" s="22"/>
      <c r="AK19" s="22"/>
      <c r="AL19" s="22"/>
      <c r="AM19" s="22"/>
      <c r="AN19" s="22">
        <v>1</v>
      </c>
      <c r="AO19" s="22"/>
      <c r="AP19" s="22"/>
      <c r="AQ19" s="22"/>
      <c r="AR19" s="22">
        <v>1</v>
      </c>
      <c r="AS19" s="22">
        <v>1</v>
      </c>
      <c r="AT19" s="22"/>
      <c r="AU19" s="22">
        <v>1.3</v>
      </c>
      <c r="AV19" s="22">
        <v>1</v>
      </c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3">
        <f>SUMPRODUCT(Table46245[[#This Row],[1]:[100]],$F$2:$DA$2)</f>
        <v>138.74921508996081</v>
      </c>
      <c r="DC19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8.1999999999999993</v>
      </c>
    </row>
    <row r="20" spans="1:107" outlineLevel="1" x14ac:dyDescent="0.25">
      <c r="A20" s="28">
        <v>16</v>
      </c>
      <c r="B20" s="22" t="s">
        <v>204</v>
      </c>
      <c r="C20" s="22" t="s">
        <v>205</v>
      </c>
      <c r="D20" s="22" t="s">
        <v>346</v>
      </c>
      <c r="E20" s="22" t="s">
        <v>162</v>
      </c>
      <c r="F20" s="22">
        <v>1.3</v>
      </c>
      <c r="G20" s="22">
        <v>1.3</v>
      </c>
      <c r="H20" s="22">
        <v>1.3</v>
      </c>
      <c r="I20" s="22">
        <v>1.3</v>
      </c>
      <c r="J20" s="22">
        <v>1.3</v>
      </c>
      <c r="K20" s="22"/>
      <c r="L20" s="22">
        <v>1.3</v>
      </c>
      <c r="M20" s="22"/>
      <c r="N20" s="22"/>
      <c r="O20" s="22">
        <v>1.3</v>
      </c>
      <c r="P20" s="22"/>
      <c r="Q20" s="22">
        <v>1.3</v>
      </c>
      <c r="R20" s="22">
        <v>1</v>
      </c>
      <c r="S20" s="22">
        <v>1.3</v>
      </c>
      <c r="T20" s="22">
        <v>1.3</v>
      </c>
      <c r="U20" s="22">
        <v>1.3</v>
      </c>
      <c r="V20" s="22">
        <v>1.3</v>
      </c>
      <c r="W20" s="22">
        <v>1.3</v>
      </c>
      <c r="X20" s="22">
        <v>1.3</v>
      </c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>
        <v>1.3</v>
      </c>
      <c r="AJ20" s="22"/>
      <c r="AK20" s="22"/>
      <c r="AL20" s="22"/>
      <c r="AM20" s="22"/>
      <c r="AN20" s="22">
        <v>1.3</v>
      </c>
      <c r="AO20" s="22"/>
      <c r="AP20" s="22"/>
      <c r="AQ20" s="22"/>
      <c r="AR20" s="22"/>
      <c r="AS20" s="22">
        <v>1.3</v>
      </c>
      <c r="AT20" s="22"/>
      <c r="AU20" s="22">
        <v>1</v>
      </c>
      <c r="AV20" s="22">
        <v>1.3</v>
      </c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3">
        <f>SUMPRODUCT(Table46245[[#This Row],[1]:[100]],$F$2:$DA$2)</f>
        <v>131.79255818477452</v>
      </c>
      <c r="DC20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7.8</v>
      </c>
    </row>
    <row r="21" spans="1:107" outlineLevel="1" x14ac:dyDescent="0.25">
      <c r="A21" s="27">
        <v>17</v>
      </c>
      <c r="B21" s="22" t="s">
        <v>301</v>
      </c>
      <c r="C21" s="22" t="s">
        <v>302</v>
      </c>
      <c r="D21" s="22" t="s">
        <v>117</v>
      </c>
      <c r="E21" s="22" t="s">
        <v>231</v>
      </c>
      <c r="F21" s="22">
        <v>1.3</v>
      </c>
      <c r="G21" s="22">
        <v>1.3</v>
      </c>
      <c r="H21" s="22">
        <v>1.3</v>
      </c>
      <c r="I21" s="22">
        <v>1.3</v>
      </c>
      <c r="J21" s="22">
        <v>1.3</v>
      </c>
      <c r="K21" s="22"/>
      <c r="L21" s="22"/>
      <c r="M21" s="22"/>
      <c r="N21" s="22"/>
      <c r="O21" s="22">
        <v>1</v>
      </c>
      <c r="P21" s="22">
        <v>1</v>
      </c>
      <c r="Q21" s="22">
        <v>1.3</v>
      </c>
      <c r="R21" s="22">
        <v>1.3</v>
      </c>
      <c r="S21" s="22">
        <v>1.3</v>
      </c>
      <c r="T21" s="22">
        <v>1.3</v>
      </c>
      <c r="U21" s="22"/>
      <c r="V21" s="22">
        <v>1</v>
      </c>
      <c r="W21" s="22">
        <v>1.3</v>
      </c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>
        <v>1</v>
      </c>
      <c r="AT21" s="22"/>
      <c r="AU21" s="22"/>
      <c r="AV21" s="22">
        <v>1.3</v>
      </c>
      <c r="AW21" s="22"/>
      <c r="AX21" s="22"/>
      <c r="AY21" s="22">
        <v>1.3</v>
      </c>
      <c r="AZ21" s="22"/>
      <c r="BA21" s="22"/>
      <c r="BB21" s="22">
        <v>1</v>
      </c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3">
        <f>SUMPRODUCT(Table46245[[#This Row],[1]:[100]],$F$2:$DA$2)</f>
        <v>124.21353542734619</v>
      </c>
      <c r="DC21" s="17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4.5999999999999996</v>
      </c>
    </row>
    <row r="22" spans="1:107" outlineLevel="1" x14ac:dyDescent="0.25">
      <c r="A22" s="28">
        <v>18</v>
      </c>
      <c r="B22" s="22" t="s">
        <v>214</v>
      </c>
      <c r="C22" s="22" t="s">
        <v>215</v>
      </c>
      <c r="D22" s="22" t="s">
        <v>117</v>
      </c>
      <c r="E22" s="22" t="s">
        <v>216</v>
      </c>
      <c r="F22" s="22">
        <v>1.3</v>
      </c>
      <c r="G22" s="22">
        <v>1.3</v>
      </c>
      <c r="H22" s="22">
        <v>1.3</v>
      </c>
      <c r="I22" s="22">
        <v>1.3</v>
      </c>
      <c r="J22" s="22">
        <v>1.3</v>
      </c>
      <c r="K22" s="22">
        <v>1.3</v>
      </c>
      <c r="L22" s="22">
        <v>1.3</v>
      </c>
      <c r="M22" s="22"/>
      <c r="N22" s="22"/>
      <c r="O22" s="22"/>
      <c r="P22" s="22"/>
      <c r="Q22" s="22">
        <v>1.3</v>
      </c>
      <c r="R22" s="22">
        <v>1.3</v>
      </c>
      <c r="S22" s="22">
        <v>1.3</v>
      </c>
      <c r="T22" s="22">
        <v>1.3</v>
      </c>
      <c r="U22" s="22">
        <v>1.3</v>
      </c>
      <c r="V22" s="22">
        <v>1.3</v>
      </c>
      <c r="W22" s="22">
        <v>1.3</v>
      </c>
      <c r="X22" s="22">
        <v>1.3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>
        <v>1</v>
      </c>
      <c r="AZ22" s="22"/>
      <c r="BA22" s="22"/>
      <c r="BB22" s="22"/>
      <c r="BC22" s="22"/>
      <c r="BD22" s="22">
        <v>1</v>
      </c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3">
        <f>SUMPRODUCT(Table46245[[#This Row],[1]:[100]],$F$2:$DA$2)</f>
        <v>113.92360605846943</v>
      </c>
      <c r="DC22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6.2</v>
      </c>
    </row>
    <row r="23" spans="1:107" outlineLevel="1" x14ac:dyDescent="0.25">
      <c r="A23" s="28">
        <v>19</v>
      </c>
      <c r="B23" s="22" t="s">
        <v>288</v>
      </c>
      <c r="C23" s="22" t="s">
        <v>289</v>
      </c>
      <c r="D23" s="22" t="s">
        <v>346</v>
      </c>
      <c r="E23" s="22"/>
      <c r="F23" s="22">
        <v>1.3</v>
      </c>
      <c r="G23" s="22">
        <v>1.3</v>
      </c>
      <c r="H23" s="22">
        <v>1.3</v>
      </c>
      <c r="I23" s="22">
        <v>1.3</v>
      </c>
      <c r="J23" s="22">
        <v>1.3</v>
      </c>
      <c r="K23" s="22">
        <v>1</v>
      </c>
      <c r="L23" s="22">
        <v>1.3</v>
      </c>
      <c r="M23" s="22"/>
      <c r="N23" s="22"/>
      <c r="O23" s="22"/>
      <c r="P23" s="22"/>
      <c r="Q23" s="22">
        <v>1.3</v>
      </c>
      <c r="R23" s="22"/>
      <c r="S23" s="22">
        <v>1.3</v>
      </c>
      <c r="T23" s="22">
        <v>1.3</v>
      </c>
      <c r="U23" s="22">
        <v>1.3</v>
      </c>
      <c r="V23" s="22">
        <v>1.3</v>
      </c>
      <c r="W23" s="22">
        <v>1.3</v>
      </c>
      <c r="X23" s="22">
        <v>1.3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>
        <v>1.3</v>
      </c>
      <c r="AJ23" s="22"/>
      <c r="AK23" s="22"/>
      <c r="AL23" s="22"/>
      <c r="AM23" s="22"/>
      <c r="AN23" s="22"/>
      <c r="AO23" s="22"/>
      <c r="AP23" s="22"/>
      <c r="AQ23" s="22"/>
      <c r="AR23" s="22"/>
      <c r="AS23" s="22">
        <v>1.3</v>
      </c>
      <c r="AT23" s="22"/>
      <c r="AU23" s="22">
        <v>1.3</v>
      </c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3">
        <f>SUMPRODUCT(Table46245[[#This Row],[1]:[100]],$F$2:$DA$2)</f>
        <v>106.4432139016067</v>
      </c>
      <c r="DC23" s="17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6.5</v>
      </c>
    </row>
    <row r="24" spans="1:107" x14ac:dyDescent="0.25">
      <c r="A24" s="27">
        <v>20</v>
      </c>
      <c r="B24" s="22" t="s">
        <v>118</v>
      </c>
      <c r="C24" s="22" t="s">
        <v>119</v>
      </c>
      <c r="D24" s="22" t="s">
        <v>346</v>
      </c>
      <c r="E24" s="22" t="s">
        <v>350</v>
      </c>
      <c r="F24" s="22">
        <v>1.3</v>
      </c>
      <c r="G24" s="22">
        <v>1.3</v>
      </c>
      <c r="H24" s="22">
        <v>1.3</v>
      </c>
      <c r="I24" s="22">
        <v>1.3</v>
      </c>
      <c r="J24" s="22">
        <v>1.3</v>
      </c>
      <c r="K24" s="22">
        <v>1.3</v>
      </c>
      <c r="L24" s="22"/>
      <c r="M24" s="22"/>
      <c r="N24" s="22"/>
      <c r="O24" s="22">
        <v>1.3</v>
      </c>
      <c r="P24" s="22"/>
      <c r="Q24" s="22">
        <v>1</v>
      </c>
      <c r="R24" s="22"/>
      <c r="S24" s="22"/>
      <c r="T24" s="22">
        <v>1.3</v>
      </c>
      <c r="U24" s="22">
        <v>1.3</v>
      </c>
      <c r="V24" s="22">
        <v>1.3</v>
      </c>
      <c r="W24" s="22">
        <v>1.3</v>
      </c>
      <c r="X24" s="22">
        <v>1.3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>
        <v>1.3</v>
      </c>
      <c r="AJ24" s="22"/>
      <c r="AK24" s="22"/>
      <c r="AL24" s="22"/>
      <c r="AM24" s="22"/>
      <c r="AN24" s="22"/>
      <c r="AO24" s="22"/>
      <c r="AP24" s="22"/>
      <c r="AQ24" s="22"/>
      <c r="AR24" s="22"/>
      <c r="AS24" s="22">
        <v>1.3</v>
      </c>
      <c r="AT24" s="22"/>
      <c r="AU24" s="22">
        <v>1</v>
      </c>
      <c r="AV24" s="22">
        <v>1</v>
      </c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3">
        <f>SUMPRODUCT(Table46245[[#This Row],[1]:[100]],$F$2:$DA$2)</f>
        <v>103.65841489428445</v>
      </c>
      <c r="DC24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6.5</v>
      </c>
    </row>
    <row r="25" spans="1:107" x14ac:dyDescent="0.25">
      <c r="A25" s="28">
        <v>21</v>
      </c>
      <c r="B25" s="22" t="s">
        <v>246</v>
      </c>
      <c r="C25" s="22" t="s">
        <v>274</v>
      </c>
      <c r="D25" s="22" t="s">
        <v>346</v>
      </c>
      <c r="E25" s="22" t="s">
        <v>162</v>
      </c>
      <c r="F25" s="22">
        <v>1.3</v>
      </c>
      <c r="G25" s="22">
        <v>1.3</v>
      </c>
      <c r="H25" s="22">
        <v>1.3</v>
      </c>
      <c r="I25" s="22">
        <v>1.3</v>
      </c>
      <c r="J25" s="22">
        <v>1.3</v>
      </c>
      <c r="K25" s="22"/>
      <c r="L25" s="22">
        <v>1</v>
      </c>
      <c r="M25" s="22"/>
      <c r="N25" s="22"/>
      <c r="O25" s="22">
        <v>1</v>
      </c>
      <c r="P25" s="22"/>
      <c r="Q25" s="22">
        <v>1.3</v>
      </c>
      <c r="R25" s="22"/>
      <c r="S25" s="22"/>
      <c r="T25" s="22">
        <v>1.3</v>
      </c>
      <c r="U25" s="22">
        <v>1.3</v>
      </c>
      <c r="V25" s="22">
        <v>1.3</v>
      </c>
      <c r="W25" s="22">
        <v>1.3</v>
      </c>
      <c r="X25" s="22">
        <v>1.3</v>
      </c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>
        <v>1.3</v>
      </c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3">
        <f>SUMPRODUCT(Table46245[[#This Row],[1]:[100]],$F$2:$DA$2)</f>
        <v>79.959271201719702</v>
      </c>
      <c r="DC25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6.5</v>
      </c>
    </row>
    <row r="26" spans="1:107" x14ac:dyDescent="0.25">
      <c r="A26" s="28">
        <v>22</v>
      </c>
      <c r="B26" s="22" t="s">
        <v>126</v>
      </c>
      <c r="C26" s="22" t="s">
        <v>127</v>
      </c>
      <c r="D26" s="22" t="s">
        <v>346</v>
      </c>
      <c r="E26" s="22"/>
      <c r="F26" s="22">
        <v>1.3</v>
      </c>
      <c r="G26" s="22"/>
      <c r="H26" s="22">
        <v>1.3</v>
      </c>
      <c r="I26" s="22">
        <v>1.3</v>
      </c>
      <c r="J26" s="22">
        <v>1.3</v>
      </c>
      <c r="K26" s="22"/>
      <c r="L26" s="22">
        <v>1.3</v>
      </c>
      <c r="M26" s="22"/>
      <c r="N26" s="22"/>
      <c r="O26" s="22"/>
      <c r="P26" s="22"/>
      <c r="Q26" s="22"/>
      <c r="R26" s="22">
        <v>1</v>
      </c>
      <c r="S26" s="22"/>
      <c r="T26" s="22">
        <v>1.3</v>
      </c>
      <c r="U26" s="22">
        <v>1.3</v>
      </c>
      <c r="V26" s="22">
        <v>1</v>
      </c>
      <c r="W26" s="22">
        <v>1.3</v>
      </c>
      <c r="X26" s="22">
        <v>1.3</v>
      </c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>
        <v>1</v>
      </c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3">
        <f>SUMPRODUCT(Table46245[[#This Row],[1]:[100]],$F$2:$DA$2)</f>
        <v>73.890268481014203</v>
      </c>
      <c r="DC26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4.8999999999999995</v>
      </c>
    </row>
    <row r="27" spans="1:107" x14ac:dyDescent="0.25">
      <c r="A27" s="27">
        <v>23</v>
      </c>
      <c r="B27" s="22" t="s">
        <v>340</v>
      </c>
      <c r="C27" s="22" t="s">
        <v>341</v>
      </c>
      <c r="D27" s="22" t="s">
        <v>346</v>
      </c>
      <c r="E27" s="22" t="s">
        <v>280</v>
      </c>
      <c r="F27" s="22">
        <v>1.3</v>
      </c>
      <c r="G27" s="22">
        <v>1.3</v>
      </c>
      <c r="H27" s="22">
        <v>1.3</v>
      </c>
      <c r="I27" s="22">
        <v>1.3</v>
      </c>
      <c r="J27" s="22">
        <v>1</v>
      </c>
      <c r="K27" s="22">
        <v>1.3</v>
      </c>
      <c r="L27" s="22">
        <v>1.3</v>
      </c>
      <c r="M27" s="22"/>
      <c r="N27" s="22"/>
      <c r="O27" s="22"/>
      <c r="P27" s="22"/>
      <c r="Q27" s="22"/>
      <c r="R27" s="22"/>
      <c r="S27" s="22"/>
      <c r="T27" s="22">
        <v>1.3</v>
      </c>
      <c r="U27" s="22">
        <v>1</v>
      </c>
      <c r="V27" s="22"/>
      <c r="W27" s="22"/>
      <c r="X27" s="22">
        <v>1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3">
        <f>SUMPRODUCT(Table46245[[#This Row],[1]:[100]],$F$2:$DA$2)</f>
        <v>53.878622610544809</v>
      </c>
      <c r="DC27" s="17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2.2999999999999998</v>
      </c>
    </row>
    <row r="28" spans="1:107" x14ac:dyDescent="0.25">
      <c r="A28" s="28">
        <v>24</v>
      </c>
      <c r="B28" s="22" t="s">
        <v>276</v>
      </c>
      <c r="C28" s="22" t="s">
        <v>277</v>
      </c>
      <c r="D28" s="22" t="s">
        <v>346</v>
      </c>
      <c r="E28" s="22"/>
      <c r="F28" s="22">
        <v>1.3</v>
      </c>
      <c r="G28" s="22">
        <v>1.3</v>
      </c>
      <c r="H28" s="22">
        <v>1.3</v>
      </c>
      <c r="I28" s="22">
        <v>1.3</v>
      </c>
      <c r="J28" s="22">
        <v>1.3</v>
      </c>
      <c r="K28" s="22">
        <v>1.3</v>
      </c>
      <c r="L28" s="22"/>
      <c r="M28" s="22"/>
      <c r="N28" s="22"/>
      <c r="O28" s="22"/>
      <c r="P28" s="22"/>
      <c r="Q28" s="22"/>
      <c r="R28" s="22"/>
      <c r="S28" s="22"/>
      <c r="T28" s="22"/>
      <c r="U28" s="22">
        <v>1.3</v>
      </c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3">
        <f>SUMPRODUCT(Table46245[[#This Row],[1]:[100]],$F$2:$DA$2)</f>
        <v>39.288888888888884</v>
      </c>
      <c r="DC28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1.3</v>
      </c>
    </row>
    <row r="29" spans="1:107" x14ac:dyDescent="0.25">
      <c r="A29" s="28">
        <v>25</v>
      </c>
      <c r="B29" s="22" t="s">
        <v>122</v>
      </c>
      <c r="C29" s="22" t="s">
        <v>123</v>
      </c>
      <c r="D29" s="22" t="s">
        <v>346</v>
      </c>
      <c r="E29" s="22"/>
      <c r="F29" s="22">
        <v>1.3</v>
      </c>
      <c r="G29" s="22">
        <v>1</v>
      </c>
      <c r="H29" s="22"/>
      <c r="I29" s="22">
        <v>1</v>
      </c>
      <c r="J29" s="22">
        <v>1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>
        <v>1.3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3">
        <f>SUMPRODUCT(Table46245[[#This Row],[1]:[100]],$F$2:$DA$2)</f>
        <v>23.000000000000004</v>
      </c>
      <c r="DC29" s="16">
        <f>SUM(Table46245[[#This Row],[4]],Table46245[[#This Row],[9]],Table46245[[#This Row],[17]:[19]],Table46245[[#This Row],[32]],Table46245[[#This Row],[35]],Table46245[[#This Row],[38]:[40]],Table46245[[#This Row],[44]],Table46245[[#This Row],[51]],Table46245[[#This Row],[53]],Table46245[[#This Row],[56]:[57]],Table46245[[#This Row],[60]],Table46245[[#This Row],[62]],Table46245[[#This Row],[64]],Table46245[[#This Row],[66]],Table46245[[#This Row],[69]],Table46245[[#This Row],[71]:[72]],Table46245[[#This Row],[74]:[76]],Table46245[[#This Row],[82]],Table46245[[#This Row],[87]],Table46245[[#This Row],[90]],Table46245[[#This Row],[93]],Table46245[[#This Row],[96]],Table46245[[#This Row],[100]])</f>
        <v>1</v>
      </c>
    </row>
  </sheetData>
  <mergeCells count="1">
    <mergeCell ref="A2:E2"/>
  </mergeCell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Result Q Men Sportisti</vt:lpstr>
      <vt:lpstr>Result Q Men Amatieri</vt:lpstr>
      <vt:lpstr>Result Q Women sportisti</vt:lpstr>
      <vt:lpstr>Result Q Women amatieri</vt:lpstr>
    </vt:vector>
  </TitlesOfParts>
  <Company>AAS Gjensidige Baltic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Rolands Laganovskis</dc:creator>
  <cp:lastModifiedBy>User</cp:lastModifiedBy>
  <cp:lastPrinted>2018-11-03T15:26:15Z</cp:lastPrinted>
  <dcterms:created xsi:type="dcterms:W3CDTF">2014-02-13T13:51:13Z</dcterms:created>
  <dcterms:modified xsi:type="dcterms:W3CDTF">2018-11-09T11:51:12Z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e84e9da9-f46d-4a8b-bae9-494ed23455e6</vt:lpwstr>
  </property>
</Properties>
</file>